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表" sheetId="8" r:id="rId1"/>
    <sheet name="收入测算表" sheetId="9" r:id="rId2"/>
    <sheet name="人员经费表" sheetId="2" r:id="rId3"/>
    <sheet name="镇级公用运转经费" sheetId="3" r:id="rId4"/>
    <sheet name="专项事业费" sheetId="4" r:id="rId5"/>
    <sheet name="城镇社区（村级）定员定额标准" sheetId="5" r:id="rId6"/>
    <sheet name="镇村级专项资金预算汇总" sheetId="6" r:id="rId7"/>
    <sheet name="镇村专项补助资金预算明细" sheetId="7" r:id="rId8"/>
  </sheets>
  <definedNames>
    <definedName name="_xlnm._FilterDatabase" localSheetId="7" hidden="1">镇村专项补助资金预算明细!$A$7:$T$167</definedName>
    <definedName name="_xlnm.Print_Area" localSheetId="5">'城镇社区（村级）定员定额标准'!$A$1:$D$18</definedName>
    <definedName name="_xlnm.Print_Area" localSheetId="0">汇总表!$A$1:$U$14</definedName>
    <definedName name="_xlnm.Print_Area" localSheetId="6">镇村级专项资金预算汇总!$A$1:$W$19</definedName>
    <definedName name="_xlnm.Print_Area" localSheetId="7">镇村专项补助资金预算明细!$A$1:$T$167</definedName>
    <definedName name="_xlnm.Print_Area" localSheetId="3">镇级公用运转经费!$A$1:$T$17</definedName>
    <definedName name="_xlnm.Print_Titles" localSheetId="7">镇村专项补助资金预算明细!$1:$5</definedName>
  </definedNames>
  <calcPr calcId="144525" iterate="1" iterateCount="100" iterateDelta="0.001"/>
</workbook>
</file>

<file path=xl/sharedStrings.xml><?xml version="1.0" encoding="utf-8"?>
<sst xmlns="http://schemas.openxmlformats.org/spreadsheetml/2006/main" count="373">
  <si>
    <t>汉阴县2018年县对镇财政收支预算汇总表（表一）</t>
  </si>
  <si>
    <t>单位：万元</t>
  </si>
  <si>
    <t>项   目</t>
  </si>
  <si>
    <t>镇合计</t>
  </si>
  <si>
    <t>城关</t>
  </si>
  <si>
    <t>涧池</t>
  </si>
  <si>
    <t>平梁</t>
  </si>
  <si>
    <t>蒲溪</t>
  </si>
  <si>
    <t>双乳</t>
  </si>
  <si>
    <t>观音河</t>
  </si>
  <si>
    <t>铁佛寺</t>
  </si>
  <si>
    <t>双河口</t>
  </si>
  <si>
    <t>漩涡</t>
  </si>
  <si>
    <t>汉阳</t>
  </si>
  <si>
    <t>离职村干部生活补贴</t>
  </si>
  <si>
    <t>环卫保洁考核奖励资金</t>
  </si>
  <si>
    <t>第一书记工作经费及生活补助</t>
  </si>
  <si>
    <t>镇级两场及运行费用</t>
  </si>
  <si>
    <t>经审计确认的2014年底前镇村债务化解以奖代补资金</t>
  </si>
  <si>
    <t>革命老区建设专项扶贫资金</t>
  </si>
  <si>
    <t>城镇社区预备费</t>
  </si>
  <si>
    <t>预留镇级经费</t>
  </si>
  <si>
    <t>一、镇级收入数</t>
  </si>
  <si>
    <t>二、   体制补助</t>
  </si>
  <si>
    <t>（一）、体制收入基数</t>
  </si>
  <si>
    <t>（二）、镇支出预算数</t>
  </si>
  <si>
    <t>1、人员经费</t>
  </si>
  <si>
    <t>2、公用运转经费</t>
  </si>
  <si>
    <t>3、专项资金</t>
  </si>
  <si>
    <t>（三）、收支缺口（体制补助）</t>
  </si>
  <si>
    <t>三、镇级支出数</t>
  </si>
  <si>
    <t>说明：1、人员经费根据中省工资政策和县人社局的工资批复标准，依照2017年8月单位在册在职人员、离退休人员和其他人员工资标准预算，包括在职人员基本工资、津贴补贴（绩效工资）、离退休人员离退休费、13月奖励工资、公务交通补贴、乡镇干部工作补贴等。不含后期新增人员增资、正常晋职晋级调资、干部职工死亡抚恤金、单位应缴纳“五险一金”、优抚人员生活补助等，在预算执行中按程序办理调整事项，预留镇级人员经费584万元。</t>
  </si>
  <si>
    <t xml:space="preserve">      2、公用运转经费含公务接待费、公车运行及公务交通补贴、会议费、差旅费、培训费、办公费、印刷费、水电邮电费、工会经费等商品和服务支出。其中公务接待费实行最高限额管理，保留的一般公务公车、执法执勤等车辆运行费用按每辆每年不超过6万元控制支出，严格按公车办核定的里程费用标准列报，公务交通补贴严格按县人社局批复的范围、标准发放；因公出国（境）必须严格履行审批后方可列支；会议费、差旅费在最高限额内按规定列报。其他商品和服务支出应本着厉行节约、从紧必须、量财办事的原则合理安排并细化到具体经济分类科目，无特殊原因一律不予追加预算。</t>
  </si>
  <si>
    <t xml:space="preserve">      3、镇级专项资金共设立11项，其中重点工作专项事业费2项，项目建设专项资金2项，专项补助7项（详见专项资金预算表）。其中：离职村干部生活补贴全县按100万元预留，县财政根据汉组发【2015】100号《关于调整离职村干部生活补贴标准的通知》每年按县委组织部审核的离职村干部补贴数拨付到各镇财政所，由各镇财政所直接打卡发放到个人；全县环卫保洁考核奖励资金预留40万元，根据县政府办《关于印发汉阴县农村生活垃圾清运保洁工作方案的通知》（汉政办发【2015】54号规定，年终县财政按县双创办、县环保局考核结果奖励数拨付到各镇财政所，由各镇拨付到被奖励单位。</t>
  </si>
  <si>
    <t>汉阴县2018年镇财政体制收入预算表（表二）</t>
  </si>
  <si>
    <t xml:space="preserve">                      单位：万元 </t>
  </si>
  <si>
    <t>乡镇</t>
  </si>
  <si>
    <t>2012年完成数</t>
  </si>
  <si>
    <t>2013年完成数</t>
  </si>
  <si>
    <t>2014年完成数</t>
  </si>
  <si>
    <t>三年
平均数</t>
  </si>
  <si>
    <t>2015年
体制收入基数</t>
  </si>
  <si>
    <t>2018年体制收入基数</t>
  </si>
  <si>
    <t>契 税</t>
  </si>
  <si>
    <t>耕地占用税</t>
  </si>
  <si>
    <t>非税收入</t>
  </si>
  <si>
    <t>合计</t>
  </si>
  <si>
    <t xml:space="preserve">  合 计</t>
  </si>
  <si>
    <t>城关镇</t>
  </si>
  <si>
    <t>平梁镇</t>
  </si>
  <si>
    <t>观音河镇</t>
  </si>
  <si>
    <t>涧池镇</t>
  </si>
  <si>
    <t>蒲溪镇</t>
  </si>
  <si>
    <t>双乳镇</t>
  </si>
  <si>
    <t>铁佛寺镇</t>
  </si>
  <si>
    <t>双河口镇</t>
  </si>
  <si>
    <t>漩涡镇</t>
  </si>
  <si>
    <t>汉阳镇</t>
  </si>
  <si>
    <r>
      <rPr>
        <sz val="11"/>
        <rFont val="宋体"/>
        <charset val="134"/>
      </rPr>
      <t>合</t>
    </r>
    <r>
      <rPr>
        <sz val="11"/>
        <rFont val="Times New Roman"/>
        <charset val="134"/>
      </rPr>
      <t xml:space="preserve">  </t>
    </r>
    <r>
      <rPr>
        <sz val="11"/>
        <rFont val="宋体"/>
        <charset val="134"/>
      </rPr>
      <t>计</t>
    </r>
  </si>
  <si>
    <t>备注：1000万体制收入基数中，其中：耕地占用税350万元，契税500万元（不含上划市级20%部分），非税收入150万。</t>
  </si>
  <si>
    <t>汉阴县2018年县对镇财政供养人员经费预算表（表三）</t>
  </si>
  <si>
    <t>单位：元</t>
  </si>
  <si>
    <t>人员情况</t>
  </si>
  <si>
    <t>月人员经费情况</t>
  </si>
  <si>
    <t>纳入镇人员经费体制基数</t>
  </si>
  <si>
    <t>在职</t>
  </si>
  <si>
    <t>退休</t>
  </si>
  <si>
    <t>小计</t>
  </si>
  <si>
    <t>月在职标准工资</t>
  </si>
  <si>
    <t>其中：基本工资</t>
  </si>
  <si>
    <t>在职工资</t>
  </si>
  <si>
    <t>13月奖励工资</t>
  </si>
  <si>
    <t>养老保险财政配套</t>
  </si>
  <si>
    <t>职业年金
财政配套</t>
  </si>
  <si>
    <t>乡镇干部工作补贴</t>
  </si>
  <si>
    <t>一次性补贴（降温、取暖、福利）</t>
  </si>
  <si>
    <t>住房公积金（在职工资的10%补助）</t>
  </si>
  <si>
    <t>医疗保险补贴（按平均每人工资总额的6%核定）</t>
  </si>
  <si>
    <t xml:space="preserve">合 计      </t>
  </si>
  <si>
    <t>预留人员经费</t>
  </si>
  <si>
    <r>
      <rPr>
        <sz val="10"/>
        <rFont val="宋体"/>
        <charset val="134"/>
      </rPr>
      <t>合</t>
    </r>
    <r>
      <rPr>
        <sz val="10"/>
        <rFont val="Times New Roman"/>
        <charset val="134"/>
      </rPr>
      <t xml:space="preserve">  </t>
    </r>
    <r>
      <rPr>
        <sz val="10"/>
        <rFont val="宋体"/>
        <charset val="134"/>
      </rPr>
      <t>计</t>
    </r>
  </si>
  <si>
    <t>说明：1、人员经费按中省工资政策和县人社局的工资批复以2017年8月在册人员（含退休人员）工资标准全额预算；2、乡镇干部工作补贴按照县人社局批复预算；3、降温费按每人930元预算、取暖费按每人800元、福利费按每人36元预算；4、住房公积金和医疗保险补助分别按照工资额的10%和6%预算，由县财政划转到相关经办机构；5、在职人员养老保险、职业年金财政配套资金按照2017年基金办核定的缴费基数预算；6、人员经费增减变化县财政根据县人社局的工资批复据实审核调整（含干部职工死亡抚恤金等），镇级暂预留人员经费584万元。</t>
  </si>
  <si>
    <t>汉阴县2018年县对镇财政公用运转经费预算表（表四）</t>
  </si>
  <si>
    <t>单位：个、万元</t>
  </si>
  <si>
    <t>编制情况</t>
  </si>
  <si>
    <t>镇党代表、人大代表，镇村干部</t>
  </si>
  <si>
    <t>会议费</t>
  </si>
  <si>
    <t>培训费</t>
  </si>
  <si>
    <t>公务交通补贴</t>
  </si>
  <si>
    <t>行政（含工勤）</t>
  </si>
  <si>
    <t>事业</t>
  </si>
  <si>
    <t>镇党代表人数</t>
  </si>
  <si>
    <t>镇人大代表人数</t>
  </si>
  <si>
    <t>镇村干部</t>
  </si>
  <si>
    <t>按总编制数年人均8000元定员定额公用经费标准核定</t>
  </si>
  <si>
    <t>对边远山区镇按编制数年人均增加1500元运转经费</t>
  </si>
  <si>
    <t>补差公用运转经费及部分</t>
  </si>
  <si>
    <t>其中：三公经费限额</t>
  </si>
  <si>
    <t>党代会、人代会（每人每天150元核定，每次两天，含会议伙食费、住宿费等）</t>
  </si>
  <si>
    <t>两干会（按镇村干部每天120元核定，一年两次，含会议伙食费、住宿费等）</t>
  </si>
  <si>
    <t>按镇、村干部每人每年100元核定</t>
  </si>
  <si>
    <t>公务接待费</t>
  </si>
  <si>
    <t>保留车辆运行费</t>
  </si>
  <si>
    <t>合  计</t>
  </si>
  <si>
    <t>注：涉及撤并镇党代表、人大代表数待换届后据实调整。</t>
  </si>
  <si>
    <t>汉阴县2018年县对镇财政专项经费预算表（表五）</t>
  </si>
  <si>
    <t xml:space="preserve"> 单位：人、万元                </t>
  </si>
  <si>
    <t>重点工作专项事业费</t>
  </si>
  <si>
    <t>县本级财政专项资金</t>
  </si>
  <si>
    <t>计划生育、食品药品安全（人均2元核定）、信访维稳、招商引资、普法、社会综合治理等公共社会事务专项事业费（按总人口10元标准核定）</t>
  </si>
  <si>
    <t>党建（不含村级）、武装（含征兵）、纪检、人大代表活动、工青妇等专项事业费（分别按15、12、10万元标准核定）</t>
  </si>
  <si>
    <t>镇级两场及运行费用（用于农村产业扶贫、道路、桥涵、安全供水、路灯、文化活动广场等基础设施项目维修费）</t>
  </si>
  <si>
    <t>革命老区建设扶贫专项资金（用于革命老区新建桥涵、村组道路等基础设施项目）</t>
  </si>
  <si>
    <t>应急预备专项补助资金【含食品药品安全（每镇5万元、地质灾害监测防治、胡蜂防治、自然灾害应急抢险、森林防火、疫情防控及其他突发事件等】根据镇总人口等综合因素，分别按40、30、20万元三个档次核定</t>
  </si>
  <si>
    <t>龙岗生态环保专项补助资金（生态转补）</t>
  </si>
  <si>
    <t>农村环卫保洁运行专项补助资金（生态转补）</t>
  </si>
  <si>
    <t>村级（城镇社区）专项补助资金</t>
  </si>
  <si>
    <t>镇级预留专项资金</t>
  </si>
  <si>
    <t>农村环卫保洁考核奖励资金</t>
  </si>
  <si>
    <t>革命老区建设扶贫专项资金</t>
  </si>
  <si>
    <t>镇村化债资金</t>
  </si>
  <si>
    <t>注：1、专项事业费必须按规定用途科学合理安排使用，保障计划生育、食品药品安全、信访维稳、普法、社会综合治理、党建、武装、纪检监察、人大代表活动、工青妇等工作需要和事业发展；2、两场及运行费用专项用于村级道路等基础设施维修，两场建设及运行费用，由各镇年初预算到具体项目，于2月底报县财政局备案，经审核后办理资金拨付；3、革命老区建设扶贫专项资金，由各镇于当年2月底前根据县财政通知将具体项目建设计划报县财政、老促会，经部门联合汇审、政府审批后由县财政下达项目计划，并联合扶贫、老促会监督指导各镇按下达的项目计划组织实施、经验收合格后办理资金拨付，未按时申报的一律不予安排；4、应急预备专项资金由各镇严格按规定用途安排使用，不得转移用途，当年12月10日前应将具体安排使用情况明细报县财政备案审查；5、镇村化债（按镇村化债以奖代补方式进行安排）、龙岗园林、农村环卫保洁、村（社区）补助等专项资金各镇必须按规定用途专款专用。</t>
  </si>
  <si>
    <t>汉阴县2018年县对各镇村（城镇社区）专项补助资金预算定员定额标准表（表六）</t>
  </si>
  <si>
    <t>预算项目</t>
  </si>
  <si>
    <t>预算定员定额标准</t>
  </si>
  <si>
    <t>备       注</t>
  </si>
  <si>
    <t>村   级</t>
  </si>
  <si>
    <t>村干部补贴</t>
  </si>
  <si>
    <r>
      <rPr>
        <b/>
        <sz val="10"/>
        <rFont val="宋体"/>
        <charset val="134"/>
      </rPr>
      <t>①</t>
    </r>
    <r>
      <rPr>
        <sz val="10"/>
        <rFont val="宋体"/>
        <charset val="134"/>
      </rPr>
      <t>农业人口在1000人以下的村，村干部职数共4名；农业人口在1000人以上，2500人以下的村，村干部职数共5名；农业人口在2500以上的村，村干部职数共6名；以上职数中均含监委会主任并按副职预算。涉及撤并后的35个村依据汉办发【2015】8号文件核定编制数预算</t>
    </r>
    <r>
      <rPr>
        <b/>
        <sz val="10"/>
        <rFont val="宋体"/>
        <charset val="134"/>
      </rPr>
      <t>②</t>
    </r>
    <r>
      <rPr>
        <sz val="10"/>
        <rFont val="宋体"/>
        <charset val="134"/>
      </rPr>
      <t xml:space="preserve"> 预算标准：村党支部书记和村委会主任正职大村2200元/月、小村2000元/月（“一肩挑”的大村2600元/月、小村2400元/月）， 副职大村1540元/月、小村1400元/月。</t>
    </r>
  </si>
  <si>
    <t>根据汉组发（2015）96号《关于调整村级组织办公经费和村干部补贴的通知》预算。①村人口在1500人（含1500人）以上的为大村、1500人以下的为小村；②民兵连长、妇女主任和团支部书记由村干部或社区委员兼任，不单独预算；③“一肩挑”或减编结余的人员经费各村可用于办公经费或偿还债务。</t>
  </si>
  <si>
    <t>计生专干补贴</t>
  </si>
  <si>
    <t>每村核定1职，预算标准为大村：10000元/年，小村：8000元/年</t>
  </si>
  <si>
    <t>按照撤镇并村后认定的村数核定预算</t>
  </si>
  <si>
    <t>组干部补贴</t>
  </si>
  <si>
    <t>每个村民小组核定1职，预算标准为：1000元/年/组</t>
  </si>
  <si>
    <t>以2014年底实有组数核定预算</t>
  </si>
  <si>
    <t>两防人员补贴</t>
  </si>
  <si>
    <t>每村核定人防1职，预算标准为：500元/年/村；每村核定兽防1职，预算标准：500元/年/村</t>
  </si>
  <si>
    <t>按照撤镇并村后每村各1职预算</t>
  </si>
  <si>
    <t>两长合一人员补贴</t>
  </si>
  <si>
    <t>两长合一人员（计生中心户长、治安中心户长）预算标准：360元/年/人</t>
  </si>
  <si>
    <t>两长合一人员人数以县综治办和县计生局审核认定、书面提供到村的人数（每40户1名中心户长）核定预算</t>
  </si>
  <si>
    <t>离职村干部补贴</t>
  </si>
  <si>
    <t>标准：（1）连续任职10年至20年，正职每人每月补贴100元，副职每人每月补贴90元，（2）连续任职20年至30年，正职每人每月补贴110元，副职每人每月补贴100元；（3）连续任职31年及以上的，正职每人每月补贴120元，副职每人每月补贴110元；</t>
  </si>
  <si>
    <t>根据汉组发（2015）100号《关于调整离职村干部生活补贴标准的通知》预算。</t>
  </si>
  <si>
    <t>村级办公经费</t>
  </si>
  <si>
    <t>大村25000元/年（含党建经费8000元），小村20000元/年（含党建经费5000元）；</t>
  </si>
  <si>
    <t>城  镇  社  区</t>
  </si>
  <si>
    <t>城镇社区“两委”成员补贴</t>
  </si>
  <si>
    <t>城关镇西街社区核定7职(2正2副3委员）、南街社区、新城社区、北街社区、涧池集镇社区、蒲溪集镇社区核定6职(2正2副2委员），漩涡集镇社区、汉阳集镇社区核定5职(2正1副2委员）；预算标准为正职：2500元/月（“一肩挑”2700元/月），副职2000元/月，委员1500元/月</t>
  </si>
  <si>
    <t>根据汉组发（2015）98号《关于进一步加强社区基础和服务保障工作的通知》预算。①民兵连长、妇女主任和团支部书记由社区委员兼任，不单独预算；②监委会主任按照副职对待占社区职数。</t>
  </si>
  <si>
    <t>每个社区核定1职，预算标准为：2400元/年/社区</t>
  </si>
  <si>
    <t>人防人员补贴</t>
  </si>
  <si>
    <t>每个社区核定人防1职，预算标准为：500元/年/社区</t>
  </si>
  <si>
    <t>两长合一人员（计生中心户长、治安中心户长）预算标准：280元/年/人</t>
  </si>
  <si>
    <t>城镇社区与村同等对待</t>
  </si>
  <si>
    <t>社区办公经费</t>
  </si>
  <si>
    <t>每个社区预算办公经费30000元/年（含党建经费10000元）</t>
  </si>
  <si>
    <t>全县8个社区均按照30000元/年的标准预算</t>
  </si>
  <si>
    <t>城镇社区服务群众经费</t>
  </si>
  <si>
    <t>每个社区预算城镇社区服务群众经费50000元/年</t>
  </si>
  <si>
    <t>全县8个社区均按照50000元/年的标准预算</t>
  </si>
  <si>
    <t>预备费</t>
  </si>
  <si>
    <t>城镇社区预备费10万元</t>
  </si>
  <si>
    <t>根据上级有关政策规定预留</t>
  </si>
  <si>
    <t>汉阴县2018年县对各镇村级（城镇社区）专项补助资金预算汇总表（表七）</t>
  </si>
  <si>
    <t>单位：个、人、元</t>
  </si>
  <si>
    <t>单 位</t>
  </si>
  <si>
    <t>基本情况</t>
  </si>
  <si>
    <t>县财政补助金额</t>
  </si>
  <si>
    <t>村(社区）数</t>
  </si>
  <si>
    <t>村（社区）两委干部核定职数</t>
  </si>
  <si>
    <t>其他干部核定职数</t>
  </si>
  <si>
    <t>离职村干部</t>
  </si>
  <si>
    <t>人员补助</t>
  </si>
  <si>
    <t>村（城镇社区）办公经费补助</t>
  </si>
  <si>
    <t>大村</t>
  </si>
  <si>
    <t>小村</t>
  </si>
  <si>
    <t>社区</t>
  </si>
  <si>
    <t>正职</t>
  </si>
  <si>
    <t>副职</t>
  </si>
  <si>
    <t>计生专干</t>
  </si>
  <si>
    <t>组干部</t>
  </si>
  <si>
    <t>两防人员</t>
  </si>
  <si>
    <t>两长人员</t>
  </si>
  <si>
    <t>村（城镇社区）干部报酬</t>
  </si>
  <si>
    <t>两长合一干部</t>
  </si>
  <si>
    <t>其中：    党建  经费</t>
  </si>
  <si>
    <t>汉阴县</t>
  </si>
  <si>
    <t>备注：1、村（城镇社区）干部报酬按照基本补贴60%，绩效补贴40%，由各镇党委、政府根据汉组发（2015）96号、汉组发（2015）98号文件精神管理、考核、发放；2、村级运转经费中含村级报刊征订经费，县财政根据县委宣传部为各村代办报刊征订意见直接划转到县委宣传部；3、离职村干部补助，县财政每年根据县委组织部审核的离职村干部补贴数拨付到各镇财政所，由各镇财政所直接打卡发放到个人；4、村（城镇社区）办公经费、城镇社区服务群众经费，均按专项资金进行监管，实行镇主要领导审核，镇级财政报账制管理。</t>
  </si>
  <si>
    <t>汉阴县2018年县对各镇村（城镇社区）专项补助资金预算明细表（表八）</t>
  </si>
  <si>
    <r>
      <rPr>
        <sz val="10"/>
        <rFont val="宋体"/>
        <charset val="134"/>
      </rPr>
      <t>单位：人、元</t>
    </r>
  </si>
  <si>
    <r>
      <rPr>
        <sz val="10"/>
        <rFont val="宋体"/>
        <charset val="134"/>
      </rPr>
      <t>单</t>
    </r>
    <r>
      <rPr>
        <sz val="10"/>
        <rFont val="Times New Roman"/>
        <charset val="134"/>
      </rPr>
      <t xml:space="preserve">    </t>
    </r>
    <r>
      <rPr>
        <sz val="10"/>
        <rFont val="宋体"/>
        <charset val="134"/>
      </rPr>
      <t>位</t>
    </r>
  </si>
  <si>
    <r>
      <rPr>
        <sz val="10"/>
        <rFont val="宋体"/>
        <charset val="134"/>
      </rPr>
      <t>基本情况</t>
    </r>
  </si>
  <si>
    <r>
      <rPr>
        <sz val="10"/>
        <rFont val="宋体"/>
        <charset val="134"/>
      </rPr>
      <t>县财政补助金额</t>
    </r>
  </si>
  <si>
    <r>
      <rPr>
        <sz val="10"/>
        <rFont val="宋体"/>
        <charset val="134"/>
      </rPr>
      <t>人</t>
    </r>
    <r>
      <rPr>
        <sz val="10"/>
        <rFont val="Times New Roman"/>
        <charset val="134"/>
      </rPr>
      <t xml:space="preserve">   </t>
    </r>
    <r>
      <rPr>
        <sz val="10"/>
        <rFont val="宋体"/>
        <charset val="134"/>
      </rPr>
      <t>口</t>
    </r>
  </si>
  <si>
    <r>
      <rPr>
        <sz val="10"/>
        <rFont val="宋体"/>
        <charset val="134"/>
      </rPr>
      <t>村（社区）两委干部核定职数</t>
    </r>
  </si>
  <si>
    <r>
      <rPr>
        <sz val="10"/>
        <rFont val="宋体"/>
        <charset val="134"/>
      </rPr>
      <t>其他干部核定职数</t>
    </r>
  </si>
  <si>
    <r>
      <rPr>
        <sz val="10"/>
        <rFont val="宋体"/>
        <charset val="134"/>
      </rPr>
      <t>人员补助</t>
    </r>
  </si>
  <si>
    <r>
      <rPr>
        <sz val="10"/>
        <rFont val="宋体"/>
        <charset val="134"/>
      </rPr>
      <t>村（社区）办公经费补助</t>
    </r>
  </si>
  <si>
    <r>
      <rPr>
        <sz val="10"/>
        <rFont val="宋体"/>
        <charset val="134"/>
      </rPr>
      <t>城镇社区服务群众经费</t>
    </r>
  </si>
  <si>
    <r>
      <rPr>
        <sz val="10"/>
        <rFont val="宋体"/>
        <charset val="134"/>
      </rPr>
      <t>合计</t>
    </r>
  </si>
  <si>
    <r>
      <rPr>
        <sz val="10"/>
        <rFont val="宋体"/>
        <charset val="134"/>
      </rPr>
      <t>正职</t>
    </r>
  </si>
  <si>
    <r>
      <rPr>
        <sz val="10"/>
        <rFont val="宋体"/>
        <charset val="134"/>
      </rPr>
      <t>副职</t>
    </r>
  </si>
  <si>
    <r>
      <rPr>
        <sz val="10"/>
        <rFont val="宋体"/>
        <charset val="134"/>
      </rPr>
      <t>小计</t>
    </r>
  </si>
  <si>
    <r>
      <rPr>
        <sz val="10"/>
        <rFont val="宋体"/>
        <charset val="134"/>
      </rPr>
      <t>计生专干</t>
    </r>
  </si>
  <si>
    <r>
      <rPr>
        <sz val="10"/>
        <rFont val="宋体"/>
        <charset val="134"/>
      </rPr>
      <t>组干部</t>
    </r>
  </si>
  <si>
    <r>
      <rPr>
        <sz val="10"/>
        <rFont val="宋体"/>
        <charset val="134"/>
      </rPr>
      <t>两防人员</t>
    </r>
  </si>
  <si>
    <r>
      <rPr>
        <sz val="10"/>
        <rFont val="宋体"/>
        <charset val="134"/>
      </rPr>
      <t>两长人员</t>
    </r>
  </si>
  <si>
    <r>
      <rPr>
        <sz val="10"/>
        <rFont val="宋体"/>
        <charset val="134"/>
      </rPr>
      <t>离职村干部</t>
    </r>
  </si>
  <si>
    <r>
      <rPr>
        <sz val="10"/>
        <rFont val="宋体"/>
        <charset val="134"/>
      </rPr>
      <t>村（城镇社区）干部报酬</t>
    </r>
  </si>
  <si>
    <r>
      <rPr>
        <sz val="10"/>
        <rFont val="宋体"/>
        <charset val="134"/>
      </rPr>
      <t>两长合一干部</t>
    </r>
  </si>
  <si>
    <r>
      <rPr>
        <sz val="10"/>
        <rFont val="宋体"/>
        <charset val="134"/>
      </rPr>
      <t>办公经费补助</t>
    </r>
  </si>
  <si>
    <r>
      <rPr>
        <sz val="10"/>
        <rFont val="宋体"/>
        <charset val="134"/>
      </rPr>
      <t>其中：</t>
    </r>
    <r>
      <rPr>
        <sz val="10"/>
        <rFont val="Times New Roman"/>
        <charset val="134"/>
      </rPr>
      <t xml:space="preserve">    </t>
    </r>
    <r>
      <rPr>
        <sz val="10"/>
        <rFont val="宋体"/>
        <charset val="134"/>
      </rPr>
      <t>党建经费</t>
    </r>
  </si>
  <si>
    <r>
      <rPr>
        <b/>
        <sz val="10"/>
        <rFont val="宋体"/>
        <charset val="134"/>
      </rPr>
      <t>汉阴县</t>
    </r>
  </si>
  <si>
    <r>
      <rPr>
        <b/>
        <sz val="10"/>
        <rFont val="宋体"/>
        <charset val="134"/>
      </rPr>
      <t>城关镇</t>
    </r>
  </si>
  <si>
    <r>
      <rPr>
        <sz val="10"/>
        <rFont val="宋体"/>
        <charset val="134"/>
      </rPr>
      <t>月河村</t>
    </r>
  </si>
  <si>
    <r>
      <rPr>
        <sz val="10"/>
        <rFont val="宋体"/>
        <charset val="134"/>
      </rPr>
      <t>三元村</t>
    </r>
  </si>
  <si>
    <r>
      <rPr>
        <sz val="10"/>
        <rFont val="宋体"/>
        <charset val="134"/>
      </rPr>
      <t>新星村</t>
    </r>
  </si>
  <si>
    <r>
      <rPr>
        <sz val="10"/>
        <rFont val="宋体"/>
        <charset val="134"/>
      </rPr>
      <t>东南村</t>
    </r>
  </si>
  <si>
    <r>
      <rPr>
        <sz val="10"/>
        <rFont val="宋体"/>
        <charset val="134"/>
      </rPr>
      <t>果园村</t>
    </r>
  </si>
  <si>
    <r>
      <rPr>
        <sz val="10"/>
        <rFont val="宋体"/>
        <charset val="134"/>
      </rPr>
      <t>龙岭村</t>
    </r>
  </si>
  <si>
    <r>
      <rPr>
        <sz val="10"/>
        <rFont val="宋体"/>
        <charset val="134"/>
      </rPr>
      <t>杨家坝村</t>
    </r>
  </si>
  <si>
    <r>
      <rPr>
        <sz val="10"/>
        <rFont val="宋体"/>
        <charset val="134"/>
      </rPr>
      <t>前进村</t>
    </r>
  </si>
  <si>
    <r>
      <rPr>
        <sz val="10"/>
        <rFont val="宋体"/>
        <charset val="134"/>
      </rPr>
      <t>三坪村</t>
    </r>
  </si>
  <si>
    <r>
      <rPr>
        <sz val="10"/>
        <rFont val="宋体"/>
        <charset val="134"/>
      </rPr>
      <t>中坝村</t>
    </r>
  </si>
  <si>
    <r>
      <rPr>
        <sz val="10"/>
        <rFont val="宋体"/>
        <charset val="134"/>
      </rPr>
      <t>太平村</t>
    </r>
  </si>
  <si>
    <r>
      <rPr>
        <sz val="10"/>
        <rFont val="宋体"/>
        <charset val="134"/>
      </rPr>
      <t>五一村</t>
    </r>
  </si>
  <si>
    <r>
      <rPr>
        <sz val="10"/>
        <rFont val="宋体"/>
        <charset val="134"/>
      </rPr>
      <t>草桥村</t>
    </r>
  </si>
  <si>
    <r>
      <rPr>
        <sz val="10"/>
        <rFont val="宋体"/>
        <charset val="134"/>
      </rPr>
      <t>长窖村</t>
    </r>
  </si>
  <si>
    <r>
      <rPr>
        <sz val="10"/>
        <rFont val="宋体"/>
        <charset val="134"/>
      </rPr>
      <t>平安村</t>
    </r>
  </si>
  <si>
    <r>
      <rPr>
        <sz val="10"/>
        <rFont val="宋体"/>
        <charset val="134"/>
      </rPr>
      <t>赵家河村</t>
    </r>
  </si>
  <si>
    <r>
      <rPr>
        <sz val="10"/>
        <rFont val="宋体"/>
        <charset val="134"/>
      </rPr>
      <t>麒麟村</t>
    </r>
  </si>
  <si>
    <r>
      <rPr>
        <sz val="10"/>
        <rFont val="宋体"/>
        <charset val="134"/>
      </rPr>
      <t>花扒村</t>
    </r>
  </si>
  <si>
    <r>
      <rPr>
        <sz val="10"/>
        <rFont val="宋体"/>
        <charset val="134"/>
      </rPr>
      <t>解放村</t>
    </r>
  </si>
  <si>
    <r>
      <rPr>
        <sz val="10"/>
        <rFont val="宋体"/>
        <charset val="134"/>
      </rPr>
      <t>中堰村</t>
    </r>
  </si>
  <si>
    <r>
      <rPr>
        <sz val="10"/>
        <rFont val="宋体"/>
        <charset val="134"/>
      </rPr>
      <t>双星村</t>
    </r>
  </si>
  <si>
    <r>
      <rPr>
        <sz val="10"/>
        <rFont val="宋体"/>
        <charset val="134"/>
      </rPr>
      <t>西街社区</t>
    </r>
  </si>
  <si>
    <r>
      <rPr>
        <sz val="10"/>
        <rFont val="宋体"/>
        <charset val="134"/>
      </rPr>
      <t>南街社区</t>
    </r>
  </si>
  <si>
    <r>
      <rPr>
        <sz val="10"/>
        <rFont val="宋体"/>
        <charset val="134"/>
      </rPr>
      <t>北街社区</t>
    </r>
  </si>
  <si>
    <r>
      <rPr>
        <sz val="10"/>
        <rFont val="宋体"/>
        <charset val="134"/>
      </rPr>
      <t>新城社区</t>
    </r>
  </si>
  <si>
    <r>
      <rPr>
        <b/>
        <sz val="10"/>
        <rFont val="宋体"/>
        <charset val="134"/>
      </rPr>
      <t>涧池镇</t>
    </r>
  </si>
  <si>
    <r>
      <rPr>
        <sz val="10"/>
        <rFont val="宋体"/>
        <charset val="134"/>
      </rPr>
      <t>麻柳村</t>
    </r>
  </si>
  <si>
    <r>
      <rPr>
        <sz val="10"/>
        <rFont val="宋体"/>
        <charset val="134"/>
      </rPr>
      <t>栋梁村</t>
    </r>
  </si>
  <si>
    <r>
      <rPr>
        <sz val="10"/>
        <rFont val="宋体"/>
        <charset val="134"/>
      </rPr>
      <t>新华村</t>
    </r>
  </si>
  <si>
    <r>
      <rPr>
        <sz val="10"/>
        <rFont val="宋体"/>
        <charset val="134"/>
      </rPr>
      <t>五坪村</t>
    </r>
  </si>
  <si>
    <r>
      <rPr>
        <sz val="10"/>
        <rFont val="宋体"/>
        <charset val="134"/>
      </rPr>
      <t>马鞍桥村</t>
    </r>
  </si>
  <si>
    <r>
      <rPr>
        <sz val="10"/>
        <rFont val="宋体"/>
        <charset val="134"/>
      </rPr>
      <t>军坝村</t>
    </r>
  </si>
  <si>
    <r>
      <rPr>
        <sz val="10"/>
        <rFont val="宋体"/>
        <charset val="134"/>
      </rPr>
      <t>洞河村</t>
    </r>
  </si>
  <si>
    <r>
      <rPr>
        <sz val="10"/>
        <rFont val="宋体"/>
        <charset val="134"/>
      </rPr>
      <t>西坝村</t>
    </r>
  </si>
  <si>
    <r>
      <rPr>
        <sz val="10"/>
        <rFont val="宋体"/>
        <charset val="134"/>
      </rPr>
      <t>东坝村</t>
    </r>
  </si>
  <si>
    <r>
      <rPr>
        <sz val="10"/>
        <rFont val="宋体"/>
        <charset val="134"/>
      </rPr>
      <t>紫云村</t>
    </r>
  </si>
  <si>
    <r>
      <rPr>
        <sz val="10"/>
        <rFont val="宋体"/>
        <charset val="134"/>
      </rPr>
      <t>三星村</t>
    </r>
  </si>
  <si>
    <r>
      <rPr>
        <sz val="10"/>
        <rFont val="宋体"/>
        <charset val="134"/>
      </rPr>
      <t>花果村</t>
    </r>
  </si>
  <si>
    <r>
      <rPr>
        <sz val="10"/>
        <rFont val="宋体"/>
        <charset val="134"/>
      </rPr>
      <t>王家河村</t>
    </r>
  </si>
  <si>
    <r>
      <rPr>
        <sz val="10"/>
        <rFont val="宋体"/>
        <charset val="134"/>
      </rPr>
      <t>东风村</t>
    </r>
  </si>
  <si>
    <r>
      <rPr>
        <sz val="10"/>
        <rFont val="宋体"/>
        <charset val="134"/>
      </rPr>
      <t>民主村</t>
    </r>
  </si>
  <si>
    <r>
      <rPr>
        <sz val="10"/>
        <rFont val="宋体"/>
        <charset val="134"/>
      </rPr>
      <t>中营村</t>
    </r>
  </si>
  <si>
    <r>
      <rPr>
        <sz val="10"/>
        <rFont val="宋体"/>
        <charset val="134"/>
      </rPr>
      <t>沙坝村</t>
    </r>
  </si>
  <si>
    <r>
      <rPr>
        <sz val="10"/>
        <rFont val="宋体"/>
        <charset val="134"/>
      </rPr>
      <t>仁和村</t>
    </r>
  </si>
  <si>
    <r>
      <rPr>
        <sz val="10"/>
        <rFont val="宋体"/>
        <charset val="134"/>
      </rPr>
      <t>五星村</t>
    </r>
  </si>
  <si>
    <r>
      <rPr>
        <sz val="10"/>
        <rFont val="宋体"/>
        <charset val="134"/>
      </rPr>
      <t>枞岭村</t>
    </r>
  </si>
  <si>
    <r>
      <rPr>
        <sz val="10"/>
        <rFont val="宋体"/>
        <charset val="134"/>
      </rPr>
      <t>集镇社区</t>
    </r>
  </si>
  <si>
    <r>
      <rPr>
        <b/>
        <sz val="10"/>
        <rFont val="宋体"/>
        <charset val="134"/>
      </rPr>
      <t>平梁镇</t>
    </r>
  </si>
  <si>
    <r>
      <rPr>
        <sz val="10"/>
        <rFont val="宋体"/>
        <charset val="134"/>
      </rPr>
      <t>石门寺村</t>
    </r>
  </si>
  <si>
    <r>
      <rPr>
        <sz val="10"/>
        <rFont val="宋体"/>
        <charset val="134"/>
      </rPr>
      <t>登天村</t>
    </r>
  </si>
  <si>
    <r>
      <rPr>
        <sz val="10"/>
        <rFont val="宋体"/>
        <charset val="134"/>
      </rPr>
      <t>二郎村</t>
    </r>
  </si>
  <si>
    <r>
      <rPr>
        <sz val="10"/>
        <rFont val="宋体"/>
        <charset val="134"/>
      </rPr>
      <t>义河村</t>
    </r>
  </si>
  <si>
    <r>
      <rPr>
        <sz val="10"/>
        <rFont val="宋体"/>
        <charset val="134"/>
      </rPr>
      <t>太行村</t>
    </r>
  </si>
  <si>
    <r>
      <rPr>
        <sz val="10"/>
        <rFont val="宋体"/>
        <charset val="134"/>
      </rPr>
      <t>棉丰村</t>
    </r>
  </si>
  <si>
    <r>
      <rPr>
        <sz val="10"/>
        <rFont val="宋体"/>
        <charset val="134"/>
      </rPr>
      <t>安合村</t>
    </r>
  </si>
  <si>
    <r>
      <rPr>
        <sz val="10"/>
        <rFont val="宋体"/>
        <charset val="134"/>
      </rPr>
      <t>界牌村</t>
    </r>
  </si>
  <si>
    <r>
      <rPr>
        <sz val="10"/>
        <rFont val="宋体"/>
        <charset val="134"/>
      </rPr>
      <t>高梁铺村</t>
    </r>
  </si>
  <si>
    <r>
      <rPr>
        <sz val="10"/>
        <rFont val="宋体"/>
        <charset val="134"/>
      </rPr>
      <t>清河村</t>
    </r>
  </si>
  <si>
    <r>
      <rPr>
        <sz val="10"/>
        <rFont val="宋体"/>
        <charset val="134"/>
      </rPr>
      <t>新河村</t>
    </r>
  </si>
  <si>
    <r>
      <rPr>
        <sz val="10"/>
        <rFont val="宋体"/>
        <charset val="134"/>
      </rPr>
      <t>长坝村</t>
    </r>
  </si>
  <si>
    <r>
      <rPr>
        <sz val="10"/>
        <rFont val="宋体"/>
        <charset val="134"/>
      </rPr>
      <t>西岭村</t>
    </r>
  </si>
  <si>
    <r>
      <rPr>
        <sz val="10"/>
        <rFont val="宋体"/>
        <charset val="134"/>
      </rPr>
      <t>兴隆村</t>
    </r>
  </si>
  <si>
    <r>
      <rPr>
        <sz val="10"/>
        <rFont val="宋体"/>
        <charset val="134"/>
      </rPr>
      <t>蔡家河村</t>
    </r>
  </si>
  <si>
    <r>
      <rPr>
        <sz val="10"/>
        <rFont val="宋体"/>
        <charset val="134"/>
      </rPr>
      <t>酒店村</t>
    </r>
  </si>
  <si>
    <r>
      <rPr>
        <sz val="10"/>
        <rFont val="宋体"/>
        <charset val="134"/>
      </rPr>
      <t>柏杨村</t>
    </r>
  </si>
  <si>
    <r>
      <rPr>
        <sz val="10"/>
        <rFont val="宋体"/>
        <charset val="134"/>
      </rPr>
      <t>沙河村</t>
    </r>
  </si>
  <si>
    <r>
      <rPr>
        <sz val="10"/>
        <rFont val="宋体"/>
        <charset val="134"/>
      </rPr>
      <t>新四村</t>
    </r>
  </si>
  <si>
    <r>
      <rPr>
        <b/>
        <sz val="10"/>
        <rFont val="宋体"/>
        <charset val="134"/>
      </rPr>
      <t>蒲溪镇</t>
    </r>
  </si>
  <si>
    <r>
      <rPr>
        <sz val="10"/>
        <rFont val="宋体"/>
        <charset val="134"/>
      </rPr>
      <t>田禾村</t>
    </r>
  </si>
  <si>
    <r>
      <rPr>
        <sz val="10"/>
        <rFont val="宋体"/>
        <charset val="134"/>
      </rPr>
      <t>胜利村</t>
    </r>
  </si>
  <si>
    <r>
      <rPr>
        <sz val="10"/>
        <rFont val="宋体"/>
        <charset val="134"/>
      </rPr>
      <t>小街村</t>
    </r>
  </si>
  <si>
    <r>
      <rPr>
        <sz val="10"/>
        <rFont val="宋体"/>
        <charset val="134"/>
      </rPr>
      <t>盘龙村</t>
    </r>
  </si>
  <si>
    <r>
      <rPr>
        <sz val="10"/>
        <rFont val="宋体"/>
        <charset val="134"/>
      </rPr>
      <t>天星村</t>
    </r>
  </si>
  <si>
    <r>
      <rPr>
        <sz val="10"/>
        <rFont val="宋体"/>
        <charset val="134"/>
      </rPr>
      <t>公星村</t>
    </r>
  </si>
  <si>
    <r>
      <rPr>
        <sz val="10"/>
        <rFont val="宋体"/>
        <charset val="134"/>
      </rPr>
      <t>先锋村</t>
    </r>
  </si>
  <si>
    <r>
      <rPr>
        <sz val="10"/>
        <rFont val="宋体"/>
        <charset val="134"/>
      </rPr>
      <t>三堰村</t>
    </r>
  </si>
  <si>
    <r>
      <rPr>
        <sz val="10"/>
        <rFont val="宋体"/>
        <charset val="134"/>
      </rPr>
      <t>东升村</t>
    </r>
  </si>
  <si>
    <r>
      <rPr>
        <sz val="10"/>
        <rFont val="宋体"/>
        <charset val="134"/>
      </rPr>
      <t>蒲溪村</t>
    </r>
  </si>
  <si>
    <r>
      <rPr>
        <sz val="10"/>
        <rFont val="宋体"/>
        <charset val="134"/>
      </rPr>
      <t>芹菜沟村</t>
    </r>
  </si>
  <si>
    <r>
      <rPr>
        <sz val="10"/>
        <rFont val="宋体"/>
        <charset val="134"/>
      </rPr>
      <t>响洞河村</t>
    </r>
  </si>
  <si>
    <r>
      <rPr>
        <b/>
        <sz val="10"/>
        <rFont val="宋体"/>
        <charset val="134"/>
      </rPr>
      <t>双乳镇</t>
    </r>
  </si>
  <si>
    <r>
      <rPr>
        <sz val="10"/>
        <rFont val="宋体"/>
        <charset val="134"/>
      </rPr>
      <t>南窑村</t>
    </r>
  </si>
  <si>
    <r>
      <rPr>
        <sz val="10"/>
        <rFont val="宋体"/>
        <charset val="134"/>
      </rPr>
      <t>江河村</t>
    </r>
  </si>
  <si>
    <r>
      <rPr>
        <sz val="10"/>
        <rFont val="宋体"/>
        <charset val="134"/>
      </rPr>
      <t>双乳村</t>
    </r>
  </si>
  <si>
    <r>
      <rPr>
        <sz val="10"/>
        <rFont val="宋体"/>
        <charset val="134"/>
      </rPr>
      <t>三同村</t>
    </r>
  </si>
  <si>
    <r>
      <rPr>
        <sz val="10"/>
        <rFont val="宋体"/>
        <charset val="134"/>
      </rPr>
      <t>新塘村</t>
    </r>
  </si>
  <si>
    <r>
      <rPr>
        <sz val="10"/>
        <rFont val="宋体"/>
        <charset val="134"/>
      </rPr>
      <t>玉河村</t>
    </r>
  </si>
  <si>
    <r>
      <rPr>
        <b/>
        <sz val="10"/>
        <rFont val="宋体"/>
        <charset val="134"/>
      </rPr>
      <t>观音河镇</t>
    </r>
  </si>
  <si>
    <r>
      <rPr>
        <sz val="10"/>
        <rFont val="宋体"/>
        <charset val="134"/>
      </rPr>
      <t>观音河村</t>
    </r>
  </si>
  <si>
    <r>
      <rPr>
        <sz val="10"/>
        <rFont val="宋体"/>
        <charset val="134"/>
      </rPr>
      <t>合心村</t>
    </r>
  </si>
  <si>
    <r>
      <rPr>
        <sz val="10"/>
        <rFont val="宋体"/>
        <charset val="134"/>
      </rPr>
      <t>进步村</t>
    </r>
  </si>
  <si>
    <r>
      <rPr>
        <sz val="10"/>
        <rFont val="宋体"/>
        <charset val="134"/>
      </rPr>
      <t>水田村</t>
    </r>
  </si>
  <si>
    <r>
      <rPr>
        <sz val="10"/>
        <rFont val="宋体"/>
        <charset val="134"/>
      </rPr>
      <t>义兴村</t>
    </r>
  </si>
  <si>
    <r>
      <rPr>
        <sz val="10"/>
        <rFont val="宋体"/>
        <charset val="134"/>
      </rPr>
      <t>药王村</t>
    </r>
  </si>
  <si>
    <r>
      <rPr>
        <sz val="10"/>
        <rFont val="宋体"/>
        <charset val="134"/>
      </rPr>
      <t>中坪村</t>
    </r>
  </si>
  <si>
    <r>
      <rPr>
        <b/>
        <sz val="10"/>
        <rFont val="宋体"/>
        <charset val="134"/>
      </rPr>
      <t>铁佛寺镇</t>
    </r>
  </si>
  <si>
    <r>
      <rPr>
        <sz val="10"/>
        <rFont val="宋体"/>
        <charset val="134"/>
      </rPr>
      <t>安坪村</t>
    </r>
  </si>
  <si>
    <r>
      <rPr>
        <sz val="10"/>
        <rFont val="宋体"/>
        <charset val="134"/>
      </rPr>
      <t>双喜村</t>
    </r>
  </si>
  <si>
    <r>
      <rPr>
        <sz val="10"/>
        <rFont val="宋体"/>
        <charset val="134"/>
      </rPr>
      <t>铜钱村</t>
    </r>
  </si>
  <si>
    <r>
      <rPr>
        <sz val="10"/>
        <rFont val="宋体"/>
        <charset val="134"/>
      </rPr>
      <t>四合村</t>
    </r>
  </si>
  <si>
    <r>
      <rPr>
        <sz val="10"/>
        <rFont val="宋体"/>
        <charset val="134"/>
      </rPr>
      <t>合一村</t>
    </r>
  </si>
  <si>
    <r>
      <rPr>
        <sz val="10"/>
        <rFont val="宋体"/>
        <charset val="134"/>
      </rPr>
      <t>高峰村</t>
    </r>
  </si>
  <si>
    <r>
      <rPr>
        <sz val="10"/>
        <rFont val="宋体"/>
        <charset val="134"/>
      </rPr>
      <t>共同村</t>
    </r>
  </si>
  <si>
    <r>
      <rPr>
        <sz val="10"/>
        <rFont val="宋体"/>
        <charset val="134"/>
      </rPr>
      <t>李庄村</t>
    </r>
  </si>
  <si>
    <r>
      <rPr>
        <sz val="10"/>
        <rFont val="宋体"/>
        <charset val="134"/>
      </rPr>
      <t>集中村</t>
    </r>
  </si>
  <si>
    <r>
      <rPr>
        <sz val="10"/>
        <rFont val="宋体"/>
        <charset val="134"/>
      </rPr>
      <t>长沟村</t>
    </r>
  </si>
  <si>
    <r>
      <rPr>
        <b/>
        <sz val="10"/>
        <rFont val="宋体"/>
        <charset val="134"/>
      </rPr>
      <t>双河口镇</t>
    </r>
  </si>
  <si>
    <r>
      <rPr>
        <sz val="10"/>
        <rFont val="宋体"/>
        <charset val="134"/>
      </rPr>
      <t>火棺子树村</t>
    </r>
  </si>
  <si>
    <r>
      <rPr>
        <sz val="10"/>
        <rFont val="宋体"/>
        <charset val="134"/>
      </rPr>
      <t>幸和村</t>
    </r>
  </si>
  <si>
    <r>
      <rPr>
        <sz val="10"/>
        <rFont val="宋体"/>
        <charset val="134"/>
      </rPr>
      <t>斑竹园村</t>
    </r>
  </si>
  <si>
    <r>
      <rPr>
        <sz val="10"/>
        <rFont val="宋体"/>
        <charset val="134"/>
      </rPr>
      <t>梨树河村</t>
    </r>
  </si>
  <si>
    <r>
      <rPr>
        <sz val="10"/>
        <rFont val="宋体"/>
        <charset val="134"/>
      </rPr>
      <t>龙垭村</t>
    </r>
  </si>
  <si>
    <r>
      <rPr>
        <sz val="10"/>
        <rFont val="宋体"/>
        <charset val="134"/>
      </rPr>
      <t>黄龙村</t>
    </r>
  </si>
  <si>
    <r>
      <rPr>
        <sz val="10"/>
        <rFont val="宋体"/>
        <charset val="134"/>
      </rPr>
      <t>凤柳村</t>
    </r>
  </si>
  <si>
    <r>
      <rPr>
        <sz val="10"/>
        <rFont val="宋体"/>
        <charset val="134"/>
      </rPr>
      <t>三柳村</t>
    </r>
  </si>
  <si>
    <r>
      <rPr>
        <sz val="10"/>
        <rFont val="宋体"/>
        <charset val="134"/>
      </rPr>
      <t>石家沟村</t>
    </r>
  </si>
  <si>
    <r>
      <rPr>
        <sz val="10"/>
        <rFont val="宋体"/>
        <charset val="134"/>
      </rPr>
      <t>黄土岗村</t>
    </r>
  </si>
  <si>
    <r>
      <rPr>
        <sz val="10"/>
        <rFont val="宋体"/>
        <charset val="134"/>
      </rPr>
      <t>兴春村</t>
    </r>
  </si>
  <si>
    <r>
      <rPr>
        <b/>
        <sz val="10"/>
        <rFont val="宋体"/>
        <charset val="134"/>
      </rPr>
      <t>漩涡镇</t>
    </r>
  </si>
  <si>
    <r>
      <rPr>
        <sz val="10"/>
        <rFont val="宋体"/>
        <charset val="134"/>
      </rPr>
      <t>塔岭村</t>
    </r>
  </si>
  <si>
    <r>
      <rPr>
        <sz val="10"/>
        <rFont val="宋体"/>
        <charset val="134"/>
      </rPr>
      <t>大涨河村</t>
    </r>
  </si>
  <si>
    <r>
      <rPr>
        <sz val="10"/>
        <rFont val="宋体"/>
        <charset val="134"/>
      </rPr>
      <t>金星村</t>
    </r>
  </si>
  <si>
    <r>
      <rPr>
        <sz val="10"/>
        <rFont val="宋体"/>
        <charset val="134"/>
      </rPr>
      <t>朝阳村</t>
    </r>
  </si>
  <si>
    <r>
      <rPr>
        <sz val="10"/>
        <rFont val="宋体"/>
        <charset val="134"/>
      </rPr>
      <t>田凤村</t>
    </r>
  </si>
  <si>
    <r>
      <rPr>
        <sz val="10"/>
        <rFont val="宋体"/>
        <charset val="134"/>
      </rPr>
      <t>中银村</t>
    </r>
  </si>
  <si>
    <r>
      <rPr>
        <sz val="10"/>
        <rFont val="宋体"/>
        <charset val="134"/>
      </rPr>
      <t>东河村</t>
    </r>
  </si>
  <si>
    <r>
      <rPr>
        <sz val="10"/>
        <rFont val="宋体"/>
        <charset val="134"/>
      </rPr>
      <t>双河村</t>
    </r>
  </si>
  <si>
    <r>
      <rPr>
        <sz val="10"/>
        <rFont val="宋体"/>
        <charset val="134"/>
      </rPr>
      <t>堰坪村</t>
    </r>
  </si>
  <si>
    <r>
      <rPr>
        <sz val="10"/>
        <rFont val="宋体"/>
        <charset val="134"/>
      </rPr>
      <t>茨沟村</t>
    </r>
  </si>
  <si>
    <r>
      <rPr>
        <sz val="10"/>
        <rFont val="宋体"/>
        <charset val="134"/>
      </rPr>
      <t>联合村</t>
    </r>
  </si>
  <si>
    <r>
      <rPr>
        <sz val="10"/>
        <rFont val="宋体"/>
        <charset val="134"/>
      </rPr>
      <t>田堰村</t>
    </r>
  </si>
  <si>
    <r>
      <rPr>
        <sz val="10"/>
        <rFont val="宋体"/>
        <charset val="134"/>
      </rPr>
      <t>发扬村</t>
    </r>
  </si>
  <si>
    <r>
      <rPr>
        <sz val="10"/>
        <rFont val="宋体"/>
        <charset val="134"/>
      </rPr>
      <t>梓中村</t>
    </r>
  </si>
  <si>
    <r>
      <rPr>
        <sz val="10"/>
        <rFont val="宋体"/>
        <charset val="134"/>
      </rPr>
      <t>群英村</t>
    </r>
  </si>
  <si>
    <r>
      <rPr>
        <sz val="10"/>
        <rFont val="宋体"/>
        <charset val="134"/>
      </rPr>
      <t>三塘村</t>
    </r>
  </si>
  <si>
    <r>
      <rPr>
        <sz val="10"/>
        <rFont val="宋体"/>
        <charset val="134"/>
      </rPr>
      <t>渭河村</t>
    </r>
  </si>
  <si>
    <r>
      <rPr>
        <sz val="10"/>
        <rFont val="宋体"/>
        <charset val="134"/>
      </rPr>
      <t>上七村</t>
    </r>
  </si>
  <si>
    <r>
      <rPr>
        <sz val="10"/>
        <rFont val="宋体"/>
        <charset val="134"/>
      </rPr>
      <t>鳌头村</t>
    </r>
  </si>
  <si>
    <r>
      <rPr>
        <sz val="10"/>
        <rFont val="宋体"/>
        <charset val="134"/>
      </rPr>
      <t>龙泉村</t>
    </r>
  </si>
  <si>
    <r>
      <rPr>
        <b/>
        <sz val="10"/>
        <rFont val="宋体"/>
        <charset val="134"/>
      </rPr>
      <t>汉阳镇</t>
    </r>
  </si>
  <si>
    <r>
      <rPr>
        <sz val="10"/>
        <rFont val="宋体"/>
        <charset val="134"/>
      </rPr>
      <t>长新村</t>
    </r>
  </si>
  <si>
    <r>
      <rPr>
        <sz val="10"/>
        <rFont val="宋体"/>
        <charset val="134"/>
      </rPr>
      <t>白庙村</t>
    </r>
  </si>
  <si>
    <r>
      <rPr>
        <sz val="10"/>
        <rFont val="宋体"/>
        <charset val="134"/>
      </rPr>
      <t>长红村</t>
    </r>
  </si>
  <si>
    <r>
      <rPr>
        <sz val="10"/>
        <rFont val="宋体"/>
        <charset val="134"/>
      </rPr>
      <t>长岭村</t>
    </r>
  </si>
  <si>
    <r>
      <rPr>
        <sz val="10"/>
        <rFont val="宋体"/>
        <charset val="134"/>
      </rPr>
      <t>泗发村</t>
    </r>
  </si>
  <si>
    <r>
      <rPr>
        <sz val="10"/>
        <rFont val="宋体"/>
        <charset val="134"/>
      </rPr>
      <t>健康村</t>
    </r>
  </si>
  <si>
    <r>
      <rPr>
        <sz val="10"/>
        <rFont val="宋体"/>
        <charset val="134"/>
      </rPr>
      <t>天池村</t>
    </r>
  </si>
  <si>
    <r>
      <rPr>
        <sz val="10"/>
        <rFont val="宋体"/>
        <charset val="134"/>
      </rPr>
      <t>交通村</t>
    </r>
  </si>
  <si>
    <r>
      <rPr>
        <sz val="10"/>
        <rFont val="宋体"/>
        <charset val="134"/>
      </rPr>
      <t>鲤鱼村</t>
    </r>
  </si>
  <si>
    <r>
      <rPr>
        <sz val="10"/>
        <rFont val="宋体"/>
        <charset val="134"/>
      </rPr>
      <t>大坝村</t>
    </r>
  </si>
  <si>
    <r>
      <rPr>
        <sz val="10"/>
        <rFont val="宋体"/>
        <charset val="134"/>
      </rPr>
      <t>金红村</t>
    </r>
  </si>
  <si>
    <r>
      <rPr>
        <sz val="10"/>
        <rFont val="宋体"/>
        <charset val="134"/>
      </rPr>
      <t>松林村</t>
    </r>
  </si>
  <si>
    <r>
      <rPr>
        <sz val="10"/>
        <rFont val="宋体"/>
        <charset val="134"/>
      </rPr>
      <t>磨坝村</t>
    </r>
  </si>
  <si>
    <r>
      <rPr>
        <sz val="10"/>
        <rFont val="宋体"/>
        <charset val="134"/>
      </rPr>
      <t>双坪村</t>
    </r>
  </si>
  <si>
    <r>
      <rPr>
        <sz val="10"/>
        <rFont val="宋体"/>
        <charset val="134"/>
      </rPr>
      <t>笔架村</t>
    </r>
  </si>
  <si>
    <r>
      <rPr>
        <sz val="9"/>
        <rFont val="宋体"/>
        <charset val="134"/>
      </rPr>
      <t>城镇社区预备费</t>
    </r>
  </si>
  <si>
    <r>
      <rPr>
        <sz val="9"/>
        <rFont val="宋体"/>
        <charset val="134"/>
      </rPr>
      <t>离职村干部生活补贴</t>
    </r>
  </si>
</sst>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 numFmtId="178" formatCode="0.0_ "/>
  </numFmts>
  <fonts count="43">
    <font>
      <sz val="12"/>
      <name val="宋体"/>
      <charset val="134"/>
    </font>
    <font>
      <sz val="12"/>
      <name val="Times New Roman"/>
      <charset val="134"/>
    </font>
    <font>
      <sz val="10"/>
      <name val="Times New Roman"/>
      <charset val="134"/>
    </font>
    <font>
      <sz val="20"/>
      <name val="方正小标宋简体"/>
      <charset val="134"/>
    </font>
    <font>
      <b/>
      <sz val="10"/>
      <name val="Times New Roman"/>
      <charset val="134"/>
    </font>
    <font>
      <sz val="9"/>
      <name val="Times New Roman"/>
      <charset val="134"/>
    </font>
    <font>
      <b/>
      <sz val="12"/>
      <name val="宋体"/>
      <charset val="134"/>
    </font>
    <font>
      <sz val="10"/>
      <name val="宋体"/>
      <charset val="134"/>
    </font>
    <font>
      <b/>
      <sz val="9"/>
      <name val="宋体"/>
      <charset val="134"/>
    </font>
    <font>
      <sz val="9"/>
      <name val="仿宋_GB2312"/>
      <charset val="134"/>
    </font>
    <font>
      <sz val="9"/>
      <name val="宋体"/>
      <charset val="134"/>
    </font>
    <font>
      <sz val="19"/>
      <name val="方正小标宋简体"/>
      <charset val="134"/>
    </font>
    <font>
      <b/>
      <sz val="10"/>
      <name val="宋体"/>
      <charset val="134"/>
    </font>
    <font>
      <sz val="22"/>
      <name val="方正大标宋简体"/>
      <charset val="134"/>
    </font>
    <font>
      <sz val="10"/>
      <name val="仿宋"/>
      <charset val="134"/>
    </font>
    <font>
      <sz val="20"/>
      <name val="方正大标宋简体"/>
      <charset val="134"/>
    </font>
    <font>
      <sz val="11"/>
      <name val="宋体"/>
      <charset val="134"/>
    </font>
    <font>
      <sz val="10"/>
      <color indexed="8"/>
      <name val="宋体"/>
      <charset val="134"/>
    </font>
    <font>
      <sz val="12"/>
      <color indexed="10"/>
      <name val="宋体"/>
      <charset val="134"/>
    </font>
    <font>
      <sz val="22"/>
      <name val="方正小标宋简体"/>
      <charset val="134"/>
    </font>
    <font>
      <sz val="12"/>
      <name val="宋体"/>
      <charset val="134"/>
    </font>
    <font>
      <sz val="8"/>
      <name val="宋体"/>
      <charset val="134"/>
    </font>
    <font>
      <sz val="11"/>
      <color theme="0"/>
      <name val="宋体"/>
      <charset val="0"/>
      <scheme val="minor"/>
    </font>
    <font>
      <sz val="11"/>
      <color theme="1"/>
      <name val="宋体"/>
      <charset val="134"/>
      <scheme val="minor"/>
    </font>
    <font>
      <sz val="11"/>
      <color theme="1"/>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name val="Times New Roman"/>
      <charset val="134"/>
    </font>
  </fonts>
  <fills count="33">
    <fill>
      <patternFill patternType="none"/>
    </fill>
    <fill>
      <patternFill patternType="gray125"/>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7" borderId="0" applyNumberFormat="0" applyBorder="0" applyAlignment="0" applyProtection="0">
      <alignment vertical="center"/>
    </xf>
    <xf numFmtId="0" fontId="27" fillId="13" borderId="1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43" fontId="23" fillId="0" borderId="0" applyFont="0" applyFill="0" applyBorder="0" applyAlignment="0" applyProtection="0">
      <alignment vertical="center"/>
    </xf>
    <xf numFmtId="0" fontId="22" fillId="10" borderId="0" applyNumberFormat="0" applyBorder="0" applyAlignment="0" applyProtection="0">
      <alignment vertical="center"/>
    </xf>
    <xf numFmtId="0" fontId="26" fillId="0" borderId="0" applyNumberFormat="0" applyFill="0" applyBorder="0" applyAlignment="0" applyProtection="0">
      <alignment vertical="center"/>
    </xf>
    <xf numFmtId="9" fontId="23" fillId="0" borderId="0" applyFont="0" applyFill="0" applyBorder="0" applyAlignment="0" applyProtection="0">
      <alignment vertical="center"/>
    </xf>
    <xf numFmtId="0" fontId="25" fillId="0" borderId="0" applyNumberFormat="0" applyFill="0" applyBorder="0" applyAlignment="0" applyProtection="0">
      <alignment vertical="center"/>
    </xf>
    <xf numFmtId="0" fontId="23" fillId="9" borderId="14" applyNumberFormat="0" applyFont="0" applyAlignment="0" applyProtection="0">
      <alignment vertical="center"/>
    </xf>
    <xf numFmtId="0" fontId="22" fillId="18"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22" fillId="21" borderId="0" applyNumberFormat="0" applyBorder="0" applyAlignment="0" applyProtection="0">
      <alignment vertical="center"/>
    </xf>
    <xf numFmtId="0" fontId="30" fillId="0" borderId="20" applyNumberFormat="0" applyFill="0" applyAlignment="0" applyProtection="0">
      <alignment vertical="center"/>
    </xf>
    <xf numFmtId="0" fontId="22" fillId="2" borderId="0" applyNumberFormat="0" applyBorder="0" applyAlignment="0" applyProtection="0">
      <alignment vertical="center"/>
    </xf>
    <xf numFmtId="0" fontId="31" fillId="19" borderId="16" applyNumberFormat="0" applyAlignment="0" applyProtection="0">
      <alignment vertical="center"/>
    </xf>
    <xf numFmtId="0" fontId="33" fillId="19" borderId="15" applyNumberFormat="0" applyAlignment="0" applyProtection="0">
      <alignment vertical="center"/>
    </xf>
    <xf numFmtId="0" fontId="35" fillId="20" borderId="17" applyNumberFormat="0" applyAlignment="0" applyProtection="0">
      <alignment vertical="center"/>
    </xf>
    <xf numFmtId="0" fontId="24" fillId="22" borderId="0" applyNumberFormat="0" applyBorder="0" applyAlignment="0" applyProtection="0">
      <alignment vertical="center"/>
    </xf>
    <xf numFmtId="0" fontId="22" fillId="23" borderId="0" applyNumberFormat="0" applyBorder="0" applyAlignment="0" applyProtection="0">
      <alignment vertical="center"/>
    </xf>
    <xf numFmtId="0" fontId="37" fillId="0" borderId="18" applyNumberFormat="0" applyFill="0" applyAlignment="0" applyProtection="0">
      <alignment vertical="center"/>
    </xf>
    <xf numFmtId="0" fontId="40" fillId="0" borderId="21" applyNumberFormat="0" applyFill="0" applyAlignment="0" applyProtection="0">
      <alignment vertical="center"/>
    </xf>
    <xf numFmtId="0" fontId="41" fillId="25" borderId="0" applyNumberFormat="0" applyBorder="0" applyAlignment="0" applyProtection="0">
      <alignment vertical="center"/>
    </xf>
    <xf numFmtId="0" fontId="29" fillId="17" borderId="0" applyNumberFormat="0" applyBorder="0" applyAlignment="0" applyProtection="0">
      <alignment vertical="center"/>
    </xf>
    <xf numFmtId="0" fontId="24" fillId="6" borderId="0" applyNumberFormat="0" applyBorder="0" applyAlignment="0" applyProtection="0">
      <alignment vertical="center"/>
    </xf>
    <xf numFmtId="0" fontId="22"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4" fillId="24" borderId="0" applyNumberFormat="0" applyBorder="0" applyAlignment="0" applyProtection="0">
      <alignment vertical="center"/>
    </xf>
    <xf numFmtId="0" fontId="24" fillId="14"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4" fillId="29" borderId="0" applyNumberFormat="0" applyBorder="0" applyAlignment="0" applyProtection="0">
      <alignment vertical="center"/>
    </xf>
    <xf numFmtId="0" fontId="24" fillId="5" borderId="0" applyNumberFormat="0" applyBorder="0" applyAlignment="0" applyProtection="0">
      <alignment vertical="center"/>
    </xf>
    <xf numFmtId="0" fontId="22" fillId="11" borderId="0" applyNumberFormat="0" applyBorder="0" applyAlignment="0" applyProtection="0">
      <alignment vertical="center"/>
    </xf>
    <xf numFmtId="0" fontId="24" fillId="3" borderId="0" applyNumberFormat="0" applyBorder="0" applyAlignment="0" applyProtection="0">
      <alignment vertical="center"/>
    </xf>
    <xf numFmtId="0" fontId="22" fillId="8"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2" fillId="32" borderId="0" applyNumberFormat="0" applyBorder="0" applyAlignment="0" applyProtection="0">
      <alignment vertical="center"/>
    </xf>
  </cellStyleXfs>
  <cellXfs count="130">
    <xf numFmtId="0" fontId="0" fillId="0" borderId="0" xfId="0">
      <alignment vertical="center"/>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3" xfId="0" applyFont="1" applyFill="1" applyBorder="1" applyAlignment="1">
      <alignment horizontal="center" vertical="center"/>
    </xf>
    <xf numFmtId="0" fontId="7" fillId="0" borderId="3" xfId="0" applyFont="1" applyFill="1" applyBorder="1" applyAlignment="1">
      <alignment vertical="center"/>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0" xfId="0" applyFont="1" applyFill="1" applyBorder="1" applyAlignment="1">
      <alignment horizontal="left" wrapText="1"/>
    </xf>
    <xf numFmtId="0" fontId="6" fillId="0" borderId="7" xfId="0" applyFont="1" applyFill="1" applyBorder="1" applyAlignment="1">
      <alignment horizontal="center" vertical="center"/>
    </xf>
    <xf numFmtId="0" fontId="10" fillId="0" borderId="1" xfId="0" applyFont="1" applyFill="1" applyBorder="1" applyAlignment="1">
      <alignment vertical="center" wrapText="1"/>
    </xf>
    <xf numFmtId="0" fontId="0" fillId="0" borderId="2" xfId="0" applyFill="1" applyBorder="1" applyAlignment="1">
      <alignment horizontal="center" vertical="center"/>
    </xf>
    <xf numFmtId="0" fontId="6" fillId="0" borderId="3"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9" xfId="0" applyFont="1" applyFill="1" applyBorder="1" applyAlignment="1">
      <alignment horizontal="center" vertical="center" wrapText="1"/>
    </xf>
    <xf numFmtId="0" fontId="8"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1"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xf>
    <xf numFmtId="0" fontId="12" fillId="0" borderId="4" xfId="0" applyFont="1" applyFill="1" applyBorder="1" applyAlignment="1">
      <alignment horizontal="center" vertical="center" wrapText="1"/>
    </xf>
    <xf numFmtId="0" fontId="13" fillId="0" borderId="0" xfId="0" applyFont="1" applyFill="1" applyBorder="1" applyAlignment="1">
      <alignment horizontal="center"/>
    </xf>
    <xf numFmtId="0" fontId="7" fillId="0" borderId="0" xfId="0" applyFont="1" applyFill="1" applyBorder="1" applyAlignment="1">
      <alignment horizontal="right"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vertical="center"/>
    </xf>
    <xf numFmtId="0" fontId="10" fillId="0" borderId="3"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17" fillId="0" borderId="1" xfId="0" applyFont="1" applyFill="1" applyBorder="1" applyAlignment="1">
      <alignment horizontal="right" vertical="center" wrapText="1"/>
    </xf>
    <xf numFmtId="0" fontId="7" fillId="0" borderId="13" xfId="0" applyFont="1" applyFill="1" applyBorder="1" applyAlignment="1">
      <alignment horizontal="left" vertical="center"/>
    </xf>
    <xf numFmtId="0" fontId="16" fillId="0" borderId="0" xfId="0" applyFont="1" applyFill="1" applyBorder="1" applyAlignment="1">
      <alignment horizontal="right" vertical="center"/>
    </xf>
    <xf numFmtId="0" fontId="17"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10" xfId="0"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0" fontId="18" fillId="0" borderId="0" xfId="0" applyFont="1" applyFill="1">
      <alignment vertical="center"/>
    </xf>
    <xf numFmtId="0" fontId="0" fillId="0" borderId="0" xfId="0" applyFill="1">
      <alignment vertical="center"/>
    </xf>
    <xf numFmtId="0" fontId="15" fillId="0" borderId="0" xfId="0" applyFont="1" applyFill="1" applyAlignment="1">
      <alignment horizontal="center" vertical="center"/>
    </xf>
    <xf numFmtId="0" fontId="0" fillId="0" borderId="0" xfId="0" applyFill="1" applyAlignment="1">
      <alignment horizontal="center" vertical="center"/>
    </xf>
    <xf numFmtId="0" fontId="7" fillId="0" borderId="13"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7" fillId="0" borderId="0" xfId="0" applyNumberFormat="1" applyFont="1" applyFill="1" applyAlignment="1">
      <alignment horizontal="left" vertical="center" wrapText="1"/>
    </xf>
    <xf numFmtId="0" fontId="7"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3" xfId="0" applyFont="1" applyFill="1" applyBorder="1" applyAlignment="1">
      <alignment horizontal="left" vertical="center"/>
    </xf>
    <xf numFmtId="0" fontId="7" fillId="0" borderId="2" xfId="0" applyFont="1" applyFill="1" applyBorder="1" applyAlignment="1">
      <alignment horizontal="center" vertical="center"/>
    </xf>
    <xf numFmtId="0" fontId="16" fillId="0" borderId="3" xfId="0" applyFont="1" applyFill="1" applyBorder="1" applyAlignment="1">
      <alignment vertical="center" wrapText="1"/>
    </xf>
    <xf numFmtId="0" fontId="16" fillId="0" borderId="1" xfId="0" applyFont="1" applyFill="1" applyBorder="1" applyAlignment="1">
      <alignment vertical="center" wrapText="1"/>
    </xf>
    <xf numFmtId="0" fontId="16" fillId="0" borderId="4" xfId="0" applyFont="1" applyFill="1" applyBorder="1" applyAlignment="1">
      <alignment vertical="center" wrapText="1"/>
    </xf>
    <xf numFmtId="177" fontId="7" fillId="0" borderId="1" xfId="0" applyNumberFormat="1"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right" vertical="center"/>
    </xf>
    <xf numFmtId="0" fontId="3" fillId="0" borderId="0" xfId="0" applyFont="1" applyFill="1" applyAlignment="1">
      <alignment horizontal="center"/>
    </xf>
    <xf numFmtId="0" fontId="19" fillId="0" borderId="0" xfId="0" applyFont="1" applyFill="1" applyAlignment="1">
      <alignment horizontal="center"/>
    </xf>
    <xf numFmtId="0" fontId="20" fillId="0" borderId="1" xfId="0" applyFont="1" applyFill="1" applyBorder="1" applyAlignment="1">
      <alignment horizontal="lef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wrapText="1"/>
    </xf>
    <xf numFmtId="0" fontId="16" fillId="0" borderId="1" xfId="0" applyNumberFormat="1" applyFont="1" applyFill="1" applyBorder="1" applyAlignment="1">
      <alignment vertical="center" wrapText="1"/>
    </xf>
    <xf numFmtId="0" fontId="16" fillId="0" borderId="1" xfId="0" applyNumberFormat="1" applyFont="1" applyFill="1" applyBorder="1" applyAlignment="1">
      <alignment horizontal="left" vertical="center" wrapText="1"/>
    </xf>
    <xf numFmtId="0" fontId="7" fillId="0" borderId="0" xfId="0" applyFont="1" applyFill="1" applyAlignment="1">
      <alignment horizontal="left" vertical="center" wrapText="1"/>
    </xf>
    <xf numFmtId="0" fontId="0" fillId="0" borderId="0" xfId="0" applyFill="1" applyBorder="1" applyAlignment="1">
      <alignment horizontal="center"/>
    </xf>
    <xf numFmtId="0" fontId="7" fillId="0" borderId="2" xfId="0" applyNumberFormat="1" applyFont="1" applyFill="1" applyBorder="1" applyAlignment="1">
      <alignment horizontal="right" vertical="center" wrapText="1"/>
    </xf>
    <xf numFmtId="0" fontId="16" fillId="0" borderId="5"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6" fillId="0" borderId="5" xfId="0" applyFont="1" applyFill="1" applyBorder="1" applyAlignment="1">
      <alignment horizontal="right" vertical="center" wrapText="1"/>
    </xf>
    <xf numFmtId="0" fontId="7" fillId="0" borderId="1" xfId="0" applyNumberFormat="1" applyFont="1" applyFill="1" applyBorder="1" applyAlignment="1">
      <alignment vertical="center" wrapText="1"/>
    </xf>
    <xf numFmtId="0" fontId="7" fillId="0" borderId="5" xfId="0" applyFont="1" applyFill="1" applyBorder="1" applyAlignment="1">
      <alignment vertical="center"/>
    </xf>
    <xf numFmtId="0" fontId="21" fillId="0" borderId="1" xfId="0" applyNumberFormat="1" applyFont="1" applyFill="1" applyBorder="1" applyAlignment="1">
      <alignment vertical="center" wrapText="1"/>
    </xf>
    <xf numFmtId="0" fontId="7"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4"/>
  <sheetViews>
    <sheetView tabSelected="1" workbookViewId="0">
      <selection activeCell="N5" sqref="N5"/>
    </sheetView>
  </sheetViews>
  <sheetFormatPr defaultColWidth="9" defaultRowHeight="14.25"/>
  <cols>
    <col min="1" max="1" width="4.625" style="22" customWidth="1"/>
    <col min="2" max="2" width="15.125" style="20" customWidth="1"/>
    <col min="3" max="4" width="7.625" style="22" customWidth="1"/>
    <col min="5" max="5" width="7.875" style="22" customWidth="1"/>
    <col min="6" max="7" width="7.5" style="22" customWidth="1"/>
    <col min="8" max="8" width="7" style="22" customWidth="1"/>
    <col min="9" max="10" width="6.625" style="22" customWidth="1"/>
    <col min="11" max="12" width="6.75" style="22" customWidth="1"/>
    <col min="13" max="13" width="7.125" style="22" customWidth="1"/>
    <col min="14" max="14" width="6" style="22" customWidth="1"/>
    <col min="15" max="15" width="4.875" style="22" customWidth="1"/>
    <col min="16" max="17" width="5.875" style="22" customWidth="1"/>
    <col min="18" max="18" width="7.125" style="22" customWidth="1"/>
    <col min="19" max="19" width="6.25" style="22" customWidth="1"/>
    <col min="20" max="20" width="4.75" style="22" customWidth="1"/>
    <col min="21" max="21" width="5.625" style="22" customWidth="1"/>
    <col min="22" max="16384" width="9" style="22"/>
  </cols>
  <sheetData>
    <row r="1" ht="26.1" customHeight="1" spans="1:21">
      <c r="A1" s="113" t="s">
        <v>0</v>
      </c>
      <c r="B1" s="114"/>
      <c r="C1" s="114"/>
      <c r="D1" s="114"/>
      <c r="E1" s="114"/>
      <c r="F1" s="114"/>
      <c r="G1" s="114"/>
      <c r="H1" s="114"/>
      <c r="I1" s="114"/>
      <c r="J1" s="114"/>
      <c r="K1" s="114"/>
      <c r="L1" s="114"/>
      <c r="M1" s="114"/>
      <c r="N1" s="114"/>
      <c r="O1" s="114"/>
      <c r="P1" s="114"/>
      <c r="Q1" s="114"/>
      <c r="R1" s="114"/>
      <c r="S1" s="114"/>
      <c r="T1" s="114"/>
      <c r="U1" s="114"/>
    </row>
    <row r="2" ht="15.95" customHeight="1" spans="13:21">
      <c r="M2" s="121"/>
      <c r="O2" s="122" t="s">
        <v>1</v>
      </c>
      <c r="P2" s="122"/>
      <c r="Q2" s="122"/>
      <c r="R2" s="122"/>
      <c r="S2" s="122"/>
      <c r="T2" s="122"/>
      <c r="U2" s="122"/>
    </row>
    <row r="3" ht="67.5" customHeight="1" spans="1:21">
      <c r="A3" s="103" t="s">
        <v>2</v>
      </c>
      <c r="B3" s="103"/>
      <c r="C3" s="103" t="s">
        <v>3</v>
      </c>
      <c r="D3" s="103" t="s">
        <v>4</v>
      </c>
      <c r="E3" s="103" t="s">
        <v>5</v>
      </c>
      <c r="F3" s="103" t="s">
        <v>6</v>
      </c>
      <c r="G3" s="103" t="s">
        <v>7</v>
      </c>
      <c r="H3" s="103" t="s">
        <v>8</v>
      </c>
      <c r="I3" s="103" t="s">
        <v>9</v>
      </c>
      <c r="J3" s="103" t="s">
        <v>10</v>
      </c>
      <c r="K3" s="123" t="s">
        <v>11</v>
      </c>
      <c r="L3" s="103" t="s">
        <v>12</v>
      </c>
      <c r="M3" s="103" t="s">
        <v>13</v>
      </c>
      <c r="N3" s="39" t="s">
        <v>14</v>
      </c>
      <c r="O3" s="124" t="s">
        <v>15</v>
      </c>
      <c r="P3" s="124" t="s">
        <v>16</v>
      </c>
      <c r="Q3" s="39" t="s">
        <v>17</v>
      </c>
      <c r="R3" s="128" t="s">
        <v>18</v>
      </c>
      <c r="S3" s="126" t="s">
        <v>19</v>
      </c>
      <c r="T3" s="126" t="s">
        <v>20</v>
      </c>
      <c r="U3" s="39" t="s">
        <v>21</v>
      </c>
    </row>
    <row r="4" ht="24.95" customHeight="1" spans="1:21">
      <c r="A4" s="115" t="s">
        <v>22</v>
      </c>
      <c r="B4" s="115"/>
      <c r="C4" s="116">
        <f>D4+E4+F4+G4+H4+I4+J4+K4+L4+M4</f>
        <v>2000</v>
      </c>
      <c r="D4" s="116">
        <v>900</v>
      </c>
      <c r="E4" s="116">
        <v>335</v>
      </c>
      <c r="F4" s="116">
        <v>229</v>
      </c>
      <c r="G4" s="116">
        <v>99</v>
      </c>
      <c r="H4" s="116">
        <v>60</v>
      </c>
      <c r="I4" s="116">
        <v>43</v>
      </c>
      <c r="J4" s="116">
        <v>49</v>
      </c>
      <c r="K4" s="125">
        <v>55</v>
      </c>
      <c r="L4" s="116">
        <v>143</v>
      </c>
      <c r="M4" s="116">
        <v>87</v>
      </c>
      <c r="N4" s="39"/>
      <c r="O4" s="126"/>
      <c r="P4" s="126"/>
      <c r="Q4" s="126"/>
      <c r="R4" s="126"/>
      <c r="S4" s="126"/>
      <c r="T4" s="126"/>
      <c r="U4" s="39"/>
    </row>
    <row r="5" ht="30.95" customHeight="1" spans="1:21">
      <c r="A5" s="117" t="s">
        <v>23</v>
      </c>
      <c r="B5" s="108" t="s">
        <v>24</v>
      </c>
      <c r="C5" s="35">
        <f>SUM(D5:M5)</f>
        <v>1000</v>
      </c>
      <c r="D5" s="35">
        <v>470</v>
      </c>
      <c r="E5" s="35">
        <v>180</v>
      </c>
      <c r="F5" s="35">
        <v>70</v>
      </c>
      <c r="G5" s="35">
        <v>60</v>
      </c>
      <c r="H5" s="35">
        <v>28</v>
      </c>
      <c r="I5" s="35">
        <v>15</v>
      </c>
      <c r="J5" s="35">
        <v>27</v>
      </c>
      <c r="K5" s="127">
        <v>30</v>
      </c>
      <c r="L5" s="35">
        <v>70</v>
      </c>
      <c r="M5" s="35">
        <v>50</v>
      </c>
      <c r="N5" s="35"/>
      <c r="O5" s="35"/>
      <c r="P5" s="35"/>
      <c r="Q5" s="35"/>
      <c r="R5" s="35"/>
      <c r="S5" s="35"/>
      <c r="T5" s="35"/>
      <c r="U5" s="35"/>
    </row>
    <row r="6" ht="30.95" customHeight="1" spans="1:21">
      <c r="A6" s="117"/>
      <c r="B6" s="108" t="s">
        <v>25</v>
      </c>
      <c r="C6" s="35">
        <f>C7+C8+C9</f>
        <v>15800</v>
      </c>
      <c r="D6" s="35">
        <f>D7+D8+D9</f>
        <v>2445.87</v>
      </c>
      <c r="E6" s="35">
        <f t="shared" ref="E6:S6" si="0">E7+E8+E9</f>
        <v>1924.83</v>
      </c>
      <c r="F6" s="35">
        <f t="shared" si="0"/>
        <v>1847.48</v>
      </c>
      <c r="G6" s="35">
        <f t="shared" si="0"/>
        <v>1370.21</v>
      </c>
      <c r="H6" s="35">
        <f t="shared" si="0"/>
        <v>760.94</v>
      </c>
      <c r="I6" s="35">
        <f t="shared" si="0"/>
        <v>625.71</v>
      </c>
      <c r="J6" s="35">
        <f t="shared" si="0"/>
        <v>1026.91</v>
      </c>
      <c r="K6" s="35">
        <f t="shared" si="0"/>
        <v>1028.62</v>
      </c>
      <c r="L6" s="35">
        <f t="shared" si="0"/>
        <v>1474.62</v>
      </c>
      <c r="M6" s="35">
        <f t="shared" si="0"/>
        <v>1255.21</v>
      </c>
      <c r="N6" s="35">
        <f t="shared" si="0"/>
        <v>100</v>
      </c>
      <c r="O6" s="35">
        <f t="shared" si="0"/>
        <v>40</v>
      </c>
      <c r="P6" s="35">
        <f t="shared" si="0"/>
        <v>105.6</v>
      </c>
      <c r="Q6" s="35">
        <f t="shared" si="0"/>
        <v>250</v>
      </c>
      <c r="R6" s="35">
        <f t="shared" si="0"/>
        <v>450</v>
      </c>
      <c r="S6" s="35">
        <f t="shared" si="0"/>
        <v>100</v>
      </c>
      <c r="T6" s="35">
        <v>10</v>
      </c>
      <c r="U6" s="35">
        <f>SUM(U7:U9)</f>
        <v>984</v>
      </c>
    </row>
    <row r="7" ht="33.95" customHeight="1" spans="1:21">
      <c r="A7" s="117"/>
      <c r="B7" s="108" t="s">
        <v>26</v>
      </c>
      <c r="C7" s="35">
        <f>SUM(D7:U7)</f>
        <v>9058.01</v>
      </c>
      <c r="D7" s="35">
        <v>1487.62</v>
      </c>
      <c r="E7" s="35">
        <v>1216.96</v>
      </c>
      <c r="F7" s="35">
        <v>1220.81</v>
      </c>
      <c r="G7" s="35">
        <v>888.85</v>
      </c>
      <c r="H7" s="35">
        <v>477.63</v>
      </c>
      <c r="I7" s="35">
        <v>352.84</v>
      </c>
      <c r="J7" s="35">
        <v>642.83</v>
      </c>
      <c r="K7" s="127">
        <v>658.17</v>
      </c>
      <c r="L7" s="35">
        <v>809.91</v>
      </c>
      <c r="M7" s="35">
        <v>718.39</v>
      </c>
      <c r="N7" s="35"/>
      <c r="O7" s="35"/>
      <c r="P7" s="35"/>
      <c r="Q7" s="35"/>
      <c r="R7" s="35"/>
      <c r="S7" s="35"/>
      <c r="T7" s="35"/>
      <c r="U7" s="35">
        <v>584</v>
      </c>
    </row>
    <row r="8" ht="33.95" customHeight="1" spans="1:21">
      <c r="A8" s="117"/>
      <c r="B8" s="108" t="s">
        <v>27</v>
      </c>
      <c r="C8" s="35">
        <f>SUM(D8:U8)</f>
        <v>1549.23</v>
      </c>
      <c r="D8" s="35">
        <v>219.12</v>
      </c>
      <c r="E8" s="35">
        <v>185.66</v>
      </c>
      <c r="F8" s="35">
        <v>176.51</v>
      </c>
      <c r="G8" s="35">
        <v>148.44</v>
      </c>
      <c r="H8" s="35">
        <v>101.45</v>
      </c>
      <c r="I8" s="35">
        <v>98.12</v>
      </c>
      <c r="J8" s="35">
        <v>139.41</v>
      </c>
      <c r="K8" s="127">
        <v>135.46</v>
      </c>
      <c r="L8" s="35">
        <v>182.37</v>
      </c>
      <c r="M8" s="35">
        <v>162.69</v>
      </c>
      <c r="N8" s="35"/>
      <c r="O8" s="35"/>
      <c r="P8" s="35"/>
      <c r="Q8" s="35"/>
      <c r="R8" s="35"/>
      <c r="S8" s="35"/>
      <c r="T8" s="35"/>
      <c r="U8" s="35"/>
    </row>
    <row r="9" ht="33.95" customHeight="1" spans="1:21">
      <c r="A9" s="117"/>
      <c r="B9" s="118" t="s">
        <v>28</v>
      </c>
      <c r="C9" s="35">
        <f>SUM(D9:U9)</f>
        <v>5192.76</v>
      </c>
      <c r="D9" s="35">
        <v>739.13</v>
      </c>
      <c r="E9" s="35">
        <v>522.21</v>
      </c>
      <c r="F9" s="35">
        <v>450.16</v>
      </c>
      <c r="G9" s="35">
        <v>332.92</v>
      </c>
      <c r="H9" s="35">
        <v>181.86</v>
      </c>
      <c r="I9" s="35">
        <v>174.75</v>
      </c>
      <c r="J9" s="35">
        <v>244.67</v>
      </c>
      <c r="K9" s="127">
        <v>234.99</v>
      </c>
      <c r="L9" s="35">
        <v>482.34</v>
      </c>
      <c r="M9" s="35">
        <v>374.13</v>
      </c>
      <c r="N9" s="35">
        <v>100</v>
      </c>
      <c r="O9" s="35">
        <v>40</v>
      </c>
      <c r="P9" s="35">
        <v>105.6</v>
      </c>
      <c r="Q9" s="35">
        <v>250</v>
      </c>
      <c r="R9" s="35">
        <v>450</v>
      </c>
      <c r="S9" s="35">
        <v>100</v>
      </c>
      <c r="T9" s="35">
        <v>10</v>
      </c>
      <c r="U9" s="35">
        <v>400</v>
      </c>
    </row>
    <row r="10" ht="33.95" customHeight="1" spans="1:21">
      <c r="A10" s="117"/>
      <c r="B10" s="118" t="s">
        <v>29</v>
      </c>
      <c r="C10" s="35">
        <f>C6-C5</f>
        <v>14800</v>
      </c>
      <c r="D10" s="35">
        <f t="shared" ref="D10:O10" si="1">D6-D5</f>
        <v>1975.87</v>
      </c>
      <c r="E10" s="35">
        <f t="shared" si="1"/>
        <v>1744.83</v>
      </c>
      <c r="F10" s="35">
        <f t="shared" si="1"/>
        <v>1777.48</v>
      </c>
      <c r="G10" s="35">
        <f t="shared" si="1"/>
        <v>1310.21</v>
      </c>
      <c r="H10" s="35">
        <f t="shared" si="1"/>
        <v>732.94</v>
      </c>
      <c r="I10" s="35">
        <f t="shared" si="1"/>
        <v>610.71</v>
      </c>
      <c r="J10" s="35">
        <f t="shared" si="1"/>
        <v>999.91</v>
      </c>
      <c r="K10" s="127">
        <f t="shared" si="1"/>
        <v>998.62</v>
      </c>
      <c r="L10" s="35">
        <f t="shared" si="1"/>
        <v>1404.62</v>
      </c>
      <c r="M10" s="35">
        <f t="shared" si="1"/>
        <v>1205.21</v>
      </c>
      <c r="N10" s="35">
        <f t="shared" si="1"/>
        <v>100</v>
      </c>
      <c r="O10" s="35">
        <f t="shared" si="1"/>
        <v>40</v>
      </c>
      <c r="P10" s="35"/>
      <c r="Q10" s="35"/>
      <c r="R10" s="35">
        <v>250</v>
      </c>
      <c r="S10" s="35">
        <f>S6-S5</f>
        <v>100</v>
      </c>
      <c r="T10" s="35">
        <v>10</v>
      </c>
      <c r="U10" s="35">
        <f>U6-U5</f>
        <v>984</v>
      </c>
    </row>
    <row r="11" ht="33.95" customHeight="1" spans="1:24">
      <c r="A11" s="119" t="s">
        <v>30</v>
      </c>
      <c r="B11" s="119"/>
      <c r="C11" s="35">
        <f>C6+C5</f>
        <v>16800</v>
      </c>
      <c r="D11" s="35">
        <f t="shared" ref="D11:U11" si="2">D6+D5</f>
        <v>2915.87</v>
      </c>
      <c r="E11" s="35">
        <f t="shared" si="2"/>
        <v>2104.83</v>
      </c>
      <c r="F11" s="35">
        <f t="shared" si="2"/>
        <v>1917.48</v>
      </c>
      <c r="G11" s="35">
        <f t="shared" si="2"/>
        <v>1430.21</v>
      </c>
      <c r="H11" s="35">
        <f t="shared" si="2"/>
        <v>788.94</v>
      </c>
      <c r="I11" s="35">
        <f t="shared" si="2"/>
        <v>640.71</v>
      </c>
      <c r="J11" s="35">
        <f t="shared" si="2"/>
        <v>1053.91</v>
      </c>
      <c r="K11" s="127">
        <f t="shared" si="2"/>
        <v>1058.62</v>
      </c>
      <c r="L11" s="35">
        <f t="shared" si="2"/>
        <v>1544.62</v>
      </c>
      <c r="M11" s="35">
        <f t="shared" si="2"/>
        <v>1305.21</v>
      </c>
      <c r="N11" s="35">
        <f t="shared" si="2"/>
        <v>100</v>
      </c>
      <c r="O11" s="35">
        <f t="shared" si="2"/>
        <v>40</v>
      </c>
      <c r="P11" s="35">
        <f t="shared" si="2"/>
        <v>105.6</v>
      </c>
      <c r="Q11" s="35">
        <f t="shared" si="2"/>
        <v>250</v>
      </c>
      <c r="R11" s="35">
        <f t="shared" si="2"/>
        <v>450</v>
      </c>
      <c r="S11" s="35">
        <f t="shared" si="2"/>
        <v>100</v>
      </c>
      <c r="T11" s="35">
        <f t="shared" si="2"/>
        <v>10</v>
      </c>
      <c r="U11" s="35">
        <f t="shared" si="2"/>
        <v>984</v>
      </c>
      <c r="X11" s="129"/>
    </row>
    <row r="12" ht="40.5" customHeight="1" spans="1:41">
      <c r="A12" s="120" t="s">
        <v>31</v>
      </c>
      <c r="B12" s="120"/>
      <c r="C12" s="120"/>
      <c r="D12" s="120"/>
      <c r="E12" s="120"/>
      <c r="F12" s="120"/>
      <c r="G12" s="120"/>
      <c r="H12" s="120"/>
      <c r="I12" s="120"/>
      <c r="J12" s="120"/>
      <c r="K12" s="120"/>
      <c r="L12" s="120"/>
      <c r="M12" s="120"/>
      <c r="N12" s="120"/>
      <c r="O12" s="120"/>
      <c r="P12" s="120"/>
      <c r="Q12" s="120"/>
      <c r="R12" s="120"/>
      <c r="S12" s="120"/>
      <c r="T12" s="120"/>
      <c r="U12" s="120"/>
      <c r="X12" s="73"/>
      <c r="Y12" s="73"/>
      <c r="Z12" s="73"/>
      <c r="AA12" s="73"/>
      <c r="AB12" s="73"/>
      <c r="AC12" s="73"/>
      <c r="AD12" s="73"/>
      <c r="AE12" s="73"/>
      <c r="AF12" s="73"/>
      <c r="AG12" s="73"/>
      <c r="AH12" s="73"/>
      <c r="AI12" s="73"/>
      <c r="AJ12" s="73"/>
      <c r="AK12" s="73"/>
      <c r="AL12" s="73"/>
      <c r="AM12" s="73"/>
      <c r="AN12" s="73"/>
      <c r="AO12" s="73"/>
    </row>
    <row r="13" ht="49.5" customHeight="1" spans="1:41">
      <c r="A13" s="120" t="s">
        <v>32</v>
      </c>
      <c r="B13" s="120"/>
      <c r="C13" s="120"/>
      <c r="D13" s="120"/>
      <c r="E13" s="120"/>
      <c r="F13" s="120"/>
      <c r="G13" s="120"/>
      <c r="H13" s="120"/>
      <c r="I13" s="120"/>
      <c r="J13" s="120"/>
      <c r="K13" s="120"/>
      <c r="L13" s="120"/>
      <c r="M13" s="120"/>
      <c r="N13" s="120"/>
      <c r="O13" s="120"/>
      <c r="P13" s="120"/>
      <c r="Q13" s="120"/>
      <c r="R13" s="120"/>
      <c r="S13" s="120"/>
      <c r="T13" s="120"/>
      <c r="U13" s="120"/>
      <c r="X13" s="73"/>
      <c r="Y13" s="73"/>
      <c r="Z13" s="73"/>
      <c r="AA13" s="73"/>
      <c r="AB13" s="73"/>
      <c r="AC13" s="73"/>
      <c r="AD13" s="73"/>
      <c r="AE13" s="73"/>
      <c r="AF13" s="73"/>
      <c r="AG13" s="73"/>
      <c r="AH13" s="73"/>
      <c r="AI13" s="73"/>
      <c r="AJ13" s="73"/>
      <c r="AK13" s="73"/>
      <c r="AL13" s="73"/>
      <c r="AM13" s="73"/>
      <c r="AN13" s="73"/>
      <c r="AO13" s="73"/>
    </row>
    <row r="14" ht="50.1" customHeight="1" spans="1:21">
      <c r="A14" s="120" t="s">
        <v>33</v>
      </c>
      <c r="B14" s="120"/>
      <c r="C14" s="120"/>
      <c r="D14" s="120"/>
      <c r="E14" s="120"/>
      <c r="F14" s="120"/>
      <c r="G14" s="120"/>
      <c r="H14" s="120"/>
      <c r="I14" s="120"/>
      <c r="J14" s="120"/>
      <c r="K14" s="120"/>
      <c r="L14" s="120"/>
      <c r="M14" s="120"/>
      <c r="N14" s="120"/>
      <c r="O14" s="120"/>
      <c r="P14" s="120"/>
      <c r="Q14" s="120"/>
      <c r="R14" s="120"/>
      <c r="S14" s="120"/>
      <c r="T14" s="120"/>
      <c r="U14" s="120"/>
    </row>
  </sheetData>
  <mergeCells count="11">
    <mergeCell ref="A1:U1"/>
    <mergeCell ref="O2:U2"/>
    <mergeCell ref="A3:B3"/>
    <mergeCell ref="A4:B4"/>
    <mergeCell ref="A11:B11"/>
    <mergeCell ref="A12:U12"/>
    <mergeCell ref="X12:AO12"/>
    <mergeCell ref="A13:U13"/>
    <mergeCell ref="X13:AO13"/>
    <mergeCell ref="A14:U14"/>
    <mergeCell ref="A5:A10"/>
  </mergeCells>
  <printOptions horizontalCentered="1"/>
  <pageMargins left="0.432638888888889" right="0.432638888888889" top="0.865972222222222" bottom="0.393055555555556" header="0.511805555555556" footer="0.118055555555556"/>
  <pageSetup paperSize="9" scale="89" firstPageNumber="143" orientation="landscape" useFirstPageNumber="1"/>
  <headerFooter differentOddEven="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workbookViewId="0">
      <selection activeCell="A1" sqref="A1:P1"/>
    </sheetView>
  </sheetViews>
  <sheetFormatPr defaultColWidth="9" defaultRowHeight="14.25"/>
  <cols>
    <col min="1" max="1" width="9" style="22"/>
    <col min="2" max="2" width="5.875" style="22" customWidth="1"/>
    <col min="3" max="3" width="7.75" style="22" customWidth="1"/>
    <col min="4" max="5" width="5.875" style="22" customWidth="1"/>
    <col min="6" max="8" width="6.875" style="22" customWidth="1"/>
    <col min="9" max="9" width="8.75" style="22" customWidth="1"/>
    <col min="10" max="13" width="7.75" style="22" customWidth="1"/>
    <col min="14" max="15" width="8.75" style="22" customWidth="1"/>
    <col min="16" max="16" width="10.375" style="22" customWidth="1"/>
    <col min="17" max="16384" width="9" style="22"/>
  </cols>
  <sheetData>
    <row r="1" ht="25.5" spans="1:16">
      <c r="A1" s="77" t="s">
        <v>34</v>
      </c>
      <c r="B1" s="77"/>
      <c r="C1" s="77"/>
      <c r="D1" s="77"/>
      <c r="E1" s="77"/>
      <c r="F1" s="77"/>
      <c r="G1" s="77"/>
      <c r="H1" s="77"/>
      <c r="I1" s="77"/>
      <c r="J1" s="77"/>
      <c r="K1" s="77"/>
      <c r="L1" s="77"/>
      <c r="M1" s="77"/>
      <c r="N1" s="77"/>
      <c r="O1" s="77"/>
      <c r="P1" s="77"/>
    </row>
    <row r="2" spans="11:16">
      <c r="K2" s="106" t="s">
        <v>35</v>
      </c>
      <c r="L2" s="106"/>
      <c r="M2" s="106"/>
      <c r="N2" s="106"/>
      <c r="O2" s="106"/>
      <c r="P2" s="106"/>
    </row>
    <row r="3" ht="27" customHeight="1" spans="1:16">
      <c r="A3" s="98" t="s">
        <v>36</v>
      </c>
      <c r="B3" s="99" t="s">
        <v>37</v>
      </c>
      <c r="C3" s="100"/>
      <c r="D3" s="100"/>
      <c r="E3" s="101"/>
      <c r="F3" s="99" t="s">
        <v>38</v>
      </c>
      <c r="G3" s="100"/>
      <c r="H3" s="100"/>
      <c r="I3" s="101"/>
      <c r="J3" s="99" t="s">
        <v>39</v>
      </c>
      <c r="K3" s="100"/>
      <c r="L3" s="100"/>
      <c r="M3" s="101"/>
      <c r="N3" s="98" t="s">
        <v>40</v>
      </c>
      <c r="O3" s="103" t="s">
        <v>41</v>
      </c>
      <c r="P3" s="107" t="s">
        <v>42</v>
      </c>
    </row>
    <row r="4" ht="36" customHeight="1" spans="1:16">
      <c r="A4" s="102"/>
      <c r="B4" s="103" t="s">
        <v>43</v>
      </c>
      <c r="C4" s="103" t="s">
        <v>44</v>
      </c>
      <c r="D4" s="103" t="s">
        <v>45</v>
      </c>
      <c r="E4" s="103" t="s">
        <v>46</v>
      </c>
      <c r="F4" s="103" t="s">
        <v>43</v>
      </c>
      <c r="G4" s="103" t="s">
        <v>44</v>
      </c>
      <c r="H4" s="103" t="s">
        <v>45</v>
      </c>
      <c r="I4" s="103" t="s">
        <v>46</v>
      </c>
      <c r="J4" s="103" t="s">
        <v>43</v>
      </c>
      <c r="K4" s="103" t="s">
        <v>44</v>
      </c>
      <c r="L4" s="103" t="s">
        <v>45</v>
      </c>
      <c r="M4" s="108" t="s">
        <v>47</v>
      </c>
      <c r="N4" s="102"/>
      <c r="O4" s="103"/>
      <c r="P4" s="109"/>
    </row>
    <row r="5" ht="28.5" customHeight="1" spans="1:16">
      <c r="A5" s="104" t="s">
        <v>48</v>
      </c>
      <c r="B5" s="83">
        <v>471.8</v>
      </c>
      <c r="C5" s="83">
        <v>9.37</v>
      </c>
      <c r="D5" s="83"/>
      <c r="E5" s="83">
        <f t="shared" ref="E5:E15" si="0">SUM(B5:D5)</f>
        <v>481.17</v>
      </c>
      <c r="F5" s="82">
        <v>587.8</v>
      </c>
      <c r="G5" s="82">
        <v>40.4</v>
      </c>
      <c r="H5" s="82">
        <v>18</v>
      </c>
      <c r="I5" s="82">
        <f t="shared" ref="I5:I11" si="1">SUM(F5:H5)</f>
        <v>646.2</v>
      </c>
      <c r="J5" s="82">
        <v>709.8</v>
      </c>
      <c r="K5" s="82">
        <v>12.5</v>
      </c>
      <c r="L5" s="82">
        <v>22.8</v>
      </c>
      <c r="M5" s="82">
        <f t="shared" ref="M5:M14" si="2">J5+K5+L5</f>
        <v>745.1</v>
      </c>
      <c r="N5" s="110">
        <f t="shared" ref="N5:N14" si="3">(M5+I5+E5)/3</f>
        <v>624.156666666667</v>
      </c>
      <c r="O5" s="82">
        <v>263</v>
      </c>
      <c r="P5" s="82">
        <v>470</v>
      </c>
    </row>
    <row r="6" ht="28.5" customHeight="1" spans="1:16">
      <c r="A6" s="104" t="s">
        <v>49</v>
      </c>
      <c r="B6" s="83">
        <v>7.6</v>
      </c>
      <c r="C6" s="83">
        <v>35.1</v>
      </c>
      <c r="D6" s="83">
        <v>28.4</v>
      </c>
      <c r="E6" s="83">
        <f t="shared" si="0"/>
        <v>71.1</v>
      </c>
      <c r="F6" s="82">
        <v>1.4</v>
      </c>
      <c r="G6" s="82">
        <v>67.46</v>
      </c>
      <c r="H6" s="82">
        <v>37.6</v>
      </c>
      <c r="I6" s="82">
        <f t="shared" si="1"/>
        <v>106.46</v>
      </c>
      <c r="J6" s="82">
        <v>7.3</v>
      </c>
      <c r="K6" s="82">
        <v>60.8</v>
      </c>
      <c r="L6" s="82">
        <v>52.2</v>
      </c>
      <c r="M6" s="82">
        <f t="shared" si="2"/>
        <v>120.3</v>
      </c>
      <c r="N6" s="110">
        <f t="shared" si="3"/>
        <v>99.2866666666667</v>
      </c>
      <c r="O6" s="82">
        <v>67</v>
      </c>
      <c r="P6" s="111">
        <v>70</v>
      </c>
    </row>
    <row r="7" ht="28.5" customHeight="1" spans="1:16">
      <c r="A7" s="104" t="s">
        <v>50</v>
      </c>
      <c r="B7" s="83">
        <v>0.7</v>
      </c>
      <c r="C7" s="83">
        <v>21.1</v>
      </c>
      <c r="D7" s="83">
        <v>7</v>
      </c>
      <c r="E7" s="83">
        <f t="shared" si="0"/>
        <v>28.8</v>
      </c>
      <c r="F7" s="82">
        <v>1.6</v>
      </c>
      <c r="G7" s="82">
        <v>10.7</v>
      </c>
      <c r="H7" s="82">
        <v>14.6</v>
      </c>
      <c r="I7" s="82">
        <f t="shared" si="1"/>
        <v>26.9</v>
      </c>
      <c r="J7" s="82">
        <v>0.9</v>
      </c>
      <c r="K7" s="82">
        <v>22.1</v>
      </c>
      <c r="L7" s="82">
        <v>5.2</v>
      </c>
      <c r="M7" s="82">
        <f t="shared" si="2"/>
        <v>28.2</v>
      </c>
      <c r="N7" s="110">
        <f t="shared" si="3"/>
        <v>27.9666666666667</v>
      </c>
      <c r="O7" s="82">
        <v>15</v>
      </c>
      <c r="P7" s="82">
        <v>15</v>
      </c>
    </row>
    <row r="8" ht="28.5" customHeight="1" spans="1:16">
      <c r="A8" s="104" t="s">
        <v>51</v>
      </c>
      <c r="B8" s="83">
        <v>3.9</v>
      </c>
      <c r="C8" s="83">
        <v>31</v>
      </c>
      <c r="D8" s="83">
        <v>47.8</v>
      </c>
      <c r="E8" s="83">
        <f t="shared" si="0"/>
        <v>82.7</v>
      </c>
      <c r="F8" s="82">
        <v>14.2</v>
      </c>
      <c r="G8" s="82">
        <v>199.9</v>
      </c>
      <c r="H8" s="82">
        <v>51.6</v>
      </c>
      <c r="I8" s="82">
        <f t="shared" si="1"/>
        <v>265.7</v>
      </c>
      <c r="J8" s="82">
        <v>10</v>
      </c>
      <c r="K8" s="82">
        <v>367.8</v>
      </c>
      <c r="L8" s="82">
        <v>62.9</v>
      </c>
      <c r="M8" s="82">
        <f t="shared" si="2"/>
        <v>440.7</v>
      </c>
      <c r="N8" s="110">
        <f t="shared" si="3"/>
        <v>263.033333333333</v>
      </c>
      <c r="O8" s="82">
        <v>120</v>
      </c>
      <c r="P8" s="82">
        <v>180</v>
      </c>
    </row>
    <row r="9" ht="28.5" customHeight="1" spans="1:16">
      <c r="A9" s="104" t="s">
        <v>52</v>
      </c>
      <c r="B9" s="83">
        <v>4</v>
      </c>
      <c r="C9" s="83">
        <v>30.8</v>
      </c>
      <c r="D9" s="83">
        <v>20.8</v>
      </c>
      <c r="E9" s="83">
        <f t="shared" si="0"/>
        <v>55.6</v>
      </c>
      <c r="F9" s="82">
        <v>5.7</v>
      </c>
      <c r="G9" s="82">
        <v>49.5</v>
      </c>
      <c r="H9" s="82">
        <v>19</v>
      </c>
      <c r="I9" s="82">
        <f t="shared" si="1"/>
        <v>74.2</v>
      </c>
      <c r="J9" s="82">
        <v>22</v>
      </c>
      <c r="K9" s="82">
        <v>27.4</v>
      </c>
      <c r="L9" s="82">
        <v>41.9</v>
      </c>
      <c r="M9" s="82">
        <f t="shared" si="2"/>
        <v>91.3</v>
      </c>
      <c r="N9" s="110">
        <f t="shared" si="3"/>
        <v>73.7</v>
      </c>
      <c r="O9" s="82">
        <v>55</v>
      </c>
      <c r="P9" s="82">
        <v>60</v>
      </c>
    </row>
    <row r="10" ht="28.5" customHeight="1" spans="1:16">
      <c r="A10" s="104" t="s">
        <v>53</v>
      </c>
      <c r="B10" s="83">
        <v>2.8</v>
      </c>
      <c r="C10" s="83">
        <v>39.5</v>
      </c>
      <c r="D10" s="83"/>
      <c r="E10" s="83">
        <f t="shared" si="0"/>
        <v>42.3</v>
      </c>
      <c r="F10" s="82">
        <v>2.8</v>
      </c>
      <c r="G10" s="82">
        <v>55.2</v>
      </c>
      <c r="H10" s="82">
        <v>13.8</v>
      </c>
      <c r="I10" s="82">
        <f t="shared" si="1"/>
        <v>71.8</v>
      </c>
      <c r="J10" s="82">
        <v>1.4</v>
      </c>
      <c r="K10" s="82">
        <v>61.1</v>
      </c>
      <c r="L10" s="82">
        <v>16.1</v>
      </c>
      <c r="M10" s="82">
        <f t="shared" si="2"/>
        <v>78.6</v>
      </c>
      <c r="N10" s="110">
        <f t="shared" si="3"/>
        <v>64.2333333333333</v>
      </c>
      <c r="O10" s="82">
        <v>25</v>
      </c>
      <c r="P10" s="82">
        <v>28</v>
      </c>
    </row>
    <row r="11" ht="28.5" customHeight="1" spans="1:16">
      <c r="A11" s="104" t="s">
        <v>54</v>
      </c>
      <c r="B11" s="83">
        <v>1</v>
      </c>
      <c r="C11" s="83">
        <v>29.8</v>
      </c>
      <c r="D11" s="83">
        <v>105</v>
      </c>
      <c r="E11" s="83">
        <f t="shared" si="0"/>
        <v>135.8</v>
      </c>
      <c r="F11" s="82">
        <v>2.8</v>
      </c>
      <c r="G11" s="82">
        <v>42.6</v>
      </c>
      <c r="H11" s="82">
        <v>13.9</v>
      </c>
      <c r="I11" s="82">
        <f t="shared" si="1"/>
        <v>59.3</v>
      </c>
      <c r="J11" s="82">
        <v>0.7</v>
      </c>
      <c r="K11" s="82">
        <v>41.2</v>
      </c>
      <c r="L11" s="82">
        <v>10.9</v>
      </c>
      <c r="M11" s="82">
        <f t="shared" si="2"/>
        <v>52.8</v>
      </c>
      <c r="N11" s="110">
        <f t="shared" si="3"/>
        <v>82.6333333333333</v>
      </c>
      <c r="O11" s="82">
        <v>25</v>
      </c>
      <c r="P11" s="82">
        <v>27</v>
      </c>
    </row>
    <row r="12" ht="28.5" customHeight="1" spans="1:16">
      <c r="A12" s="104" t="s">
        <v>55</v>
      </c>
      <c r="B12" s="83">
        <v>2.6</v>
      </c>
      <c r="C12" s="83">
        <v>7.7</v>
      </c>
      <c r="D12" s="83">
        <v>2.7</v>
      </c>
      <c r="E12" s="83">
        <f t="shared" si="0"/>
        <v>13</v>
      </c>
      <c r="F12" s="82">
        <v>2.9</v>
      </c>
      <c r="G12" s="82">
        <v>26.7</v>
      </c>
      <c r="H12" s="82">
        <v>15.7</v>
      </c>
      <c r="I12" s="82">
        <v>79.4</v>
      </c>
      <c r="J12" s="82">
        <v>4.1</v>
      </c>
      <c r="K12" s="82">
        <v>50.4</v>
      </c>
      <c r="L12" s="82">
        <v>13.8</v>
      </c>
      <c r="M12" s="82">
        <f t="shared" si="2"/>
        <v>68.3</v>
      </c>
      <c r="N12" s="110">
        <f t="shared" si="3"/>
        <v>53.5666666666667</v>
      </c>
      <c r="O12" s="82">
        <v>22</v>
      </c>
      <c r="P12" s="112">
        <v>30</v>
      </c>
    </row>
    <row r="13" ht="28.5" customHeight="1" spans="1:16">
      <c r="A13" s="104" t="s">
        <v>56</v>
      </c>
      <c r="B13" s="83">
        <v>7.9</v>
      </c>
      <c r="C13" s="83">
        <v>30.3</v>
      </c>
      <c r="D13" s="83">
        <v>48.7</v>
      </c>
      <c r="E13" s="83">
        <f t="shared" si="0"/>
        <v>86.9</v>
      </c>
      <c r="F13" s="82">
        <v>3.3</v>
      </c>
      <c r="G13" s="82">
        <v>50.5</v>
      </c>
      <c r="H13" s="82">
        <v>64.4</v>
      </c>
      <c r="I13" s="82">
        <f>SUM(F13:H13)</f>
        <v>118.2</v>
      </c>
      <c r="J13" s="82">
        <v>6.5</v>
      </c>
      <c r="K13" s="82">
        <v>45.7</v>
      </c>
      <c r="L13" s="82">
        <v>115.7</v>
      </c>
      <c r="M13" s="82">
        <f t="shared" si="2"/>
        <v>167.9</v>
      </c>
      <c r="N13" s="110">
        <f t="shared" si="3"/>
        <v>124.333333333333</v>
      </c>
      <c r="O13" s="82">
        <v>61</v>
      </c>
      <c r="P13" s="111">
        <v>70</v>
      </c>
    </row>
    <row r="14" ht="28.5" customHeight="1" spans="1:16">
      <c r="A14" s="104" t="s">
        <v>57</v>
      </c>
      <c r="B14" s="83">
        <v>6.4</v>
      </c>
      <c r="C14" s="83">
        <v>34.6</v>
      </c>
      <c r="D14" s="83">
        <v>16.9</v>
      </c>
      <c r="E14" s="83">
        <f t="shared" si="0"/>
        <v>57.9</v>
      </c>
      <c r="F14" s="82">
        <v>11.1</v>
      </c>
      <c r="G14" s="82">
        <v>32.5</v>
      </c>
      <c r="H14" s="82">
        <v>32</v>
      </c>
      <c r="I14" s="82">
        <v>86</v>
      </c>
      <c r="J14" s="82">
        <v>13.8</v>
      </c>
      <c r="K14" s="82">
        <v>52.2</v>
      </c>
      <c r="L14" s="82">
        <v>33.6</v>
      </c>
      <c r="M14" s="82">
        <f t="shared" si="2"/>
        <v>99.6</v>
      </c>
      <c r="N14" s="110">
        <f t="shared" si="3"/>
        <v>81.1666666666667</v>
      </c>
      <c r="O14" s="82">
        <v>47</v>
      </c>
      <c r="P14" s="111">
        <v>50</v>
      </c>
    </row>
    <row r="15" ht="22.5" customHeight="1" spans="1:16">
      <c r="A15" s="104" t="s">
        <v>58</v>
      </c>
      <c r="B15" s="82">
        <f t="shared" ref="B15:P15" si="4">SUM(B5:B14)</f>
        <v>508.7</v>
      </c>
      <c r="C15" s="82">
        <f t="shared" si="4"/>
        <v>269.27</v>
      </c>
      <c r="D15" s="82">
        <f t="shared" si="4"/>
        <v>277.3</v>
      </c>
      <c r="E15" s="82">
        <f t="shared" si="0"/>
        <v>1055.27</v>
      </c>
      <c r="F15" s="82">
        <f t="shared" si="4"/>
        <v>633.6</v>
      </c>
      <c r="G15" s="82">
        <f t="shared" si="4"/>
        <v>575.46</v>
      </c>
      <c r="H15" s="82">
        <f t="shared" si="4"/>
        <v>280.6</v>
      </c>
      <c r="I15" s="82">
        <f t="shared" si="4"/>
        <v>1534.16</v>
      </c>
      <c r="J15" s="82">
        <f t="shared" si="4"/>
        <v>776.5</v>
      </c>
      <c r="K15" s="82">
        <f t="shared" si="4"/>
        <v>741.2</v>
      </c>
      <c r="L15" s="82">
        <f t="shared" si="4"/>
        <v>375.1</v>
      </c>
      <c r="M15" s="82">
        <f t="shared" si="4"/>
        <v>1892.8</v>
      </c>
      <c r="N15" s="110">
        <f t="shared" si="4"/>
        <v>1494.07666666667</v>
      </c>
      <c r="O15" s="82">
        <f t="shared" si="4"/>
        <v>700</v>
      </c>
      <c r="P15" s="82">
        <f t="shared" si="4"/>
        <v>1000</v>
      </c>
    </row>
    <row r="16" ht="21" customHeight="1" spans="1:16">
      <c r="A16" s="105" t="s">
        <v>59</v>
      </c>
      <c r="B16" s="105"/>
      <c r="C16" s="105"/>
      <c r="D16" s="105"/>
      <c r="E16" s="105"/>
      <c r="F16" s="105"/>
      <c r="G16" s="105"/>
      <c r="H16" s="105"/>
      <c r="I16" s="105"/>
      <c r="J16" s="105"/>
      <c r="K16" s="105"/>
      <c r="L16" s="105"/>
      <c r="M16" s="105"/>
      <c r="N16" s="105"/>
      <c r="O16" s="105"/>
      <c r="P16" s="105"/>
    </row>
  </sheetData>
  <mergeCells count="10">
    <mergeCell ref="A1:P1"/>
    <mergeCell ref="K2:P2"/>
    <mergeCell ref="B3:E3"/>
    <mergeCell ref="F3:I3"/>
    <mergeCell ref="J3:M3"/>
    <mergeCell ref="A16:P16"/>
    <mergeCell ref="A3:A4"/>
    <mergeCell ref="N3:N4"/>
    <mergeCell ref="O3:O4"/>
    <mergeCell ref="P3:P4"/>
  </mergeCells>
  <printOptions horizontalCentered="1"/>
  <pageMargins left="0.550694444444444" right="0.629861111111111" top="0.865972222222222" bottom="0.393055555555556" header="0.511805555555556" footer="0.118055555555556"/>
  <pageSetup paperSize="9" scale="99" firstPageNumber="143" orientation="landscape" useFirstPageNumber="1"/>
  <headerFooter differentOddEven="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FFCC"/>
  </sheetPr>
  <dimension ref="A1:O17"/>
  <sheetViews>
    <sheetView workbookViewId="0">
      <selection activeCell="A1" sqref="A1:O1"/>
    </sheetView>
  </sheetViews>
  <sheetFormatPr defaultColWidth="9" defaultRowHeight="14.25"/>
  <cols>
    <col min="1" max="1" width="7.25" style="91" customWidth="1"/>
    <col min="2" max="4" width="4.5" style="91" customWidth="1"/>
    <col min="5" max="9" width="8.5" style="91" customWidth="1"/>
    <col min="10" max="10" width="9.25" style="91" customWidth="1"/>
    <col min="11" max="12" width="9.125" style="91" customWidth="1"/>
    <col min="13" max="13" width="8.25" style="91" customWidth="1"/>
    <col min="14" max="14" width="9.125" style="91" customWidth="1"/>
    <col min="15" max="15" width="8.625" style="91" customWidth="1"/>
    <col min="16" max="16384" width="9" style="91"/>
  </cols>
  <sheetData>
    <row r="1" ht="25.5" spans="1:15">
      <c r="A1" s="92" t="s">
        <v>60</v>
      </c>
      <c r="B1" s="92"/>
      <c r="C1" s="92"/>
      <c r="D1" s="92"/>
      <c r="E1" s="92"/>
      <c r="F1" s="92"/>
      <c r="G1" s="92"/>
      <c r="H1" s="92"/>
      <c r="I1" s="92"/>
      <c r="J1" s="92"/>
      <c r="K1" s="92"/>
      <c r="L1" s="92"/>
      <c r="M1" s="92"/>
      <c r="N1" s="92"/>
      <c r="O1" s="92"/>
    </row>
    <row r="2" spans="1:15">
      <c r="A2" s="93"/>
      <c r="B2" s="93"/>
      <c r="C2" s="93"/>
      <c r="D2" s="93"/>
      <c r="E2" s="21"/>
      <c r="F2" s="21"/>
      <c r="G2" s="93"/>
      <c r="H2" s="21"/>
      <c r="I2" s="93"/>
      <c r="J2" s="93"/>
      <c r="K2" s="21"/>
      <c r="L2" s="21"/>
      <c r="M2" s="21"/>
      <c r="N2" s="97" t="s">
        <v>61</v>
      </c>
      <c r="O2" s="21"/>
    </row>
    <row r="3" ht="25.5" customHeight="1" spans="1:15">
      <c r="A3" s="56" t="s">
        <v>36</v>
      </c>
      <c r="B3" s="45" t="s">
        <v>62</v>
      </c>
      <c r="C3" s="94"/>
      <c r="D3" s="70"/>
      <c r="E3" s="45" t="s">
        <v>63</v>
      </c>
      <c r="F3" s="94"/>
      <c r="G3" s="27" t="s">
        <v>64</v>
      </c>
      <c r="H3" s="27"/>
      <c r="I3" s="27"/>
      <c r="J3" s="27"/>
      <c r="K3" s="27"/>
      <c r="L3" s="27"/>
      <c r="M3" s="27"/>
      <c r="N3" s="27"/>
      <c r="O3" s="27"/>
    </row>
    <row r="4" ht="66" customHeight="1" spans="1:15">
      <c r="A4" s="60"/>
      <c r="B4" s="27" t="s">
        <v>65</v>
      </c>
      <c r="C4" s="27" t="s">
        <v>66</v>
      </c>
      <c r="D4" s="27" t="s">
        <v>67</v>
      </c>
      <c r="E4" s="27" t="s">
        <v>68</v>
      </c>
      <c r="F4" s="27" t="s">
        <v>69</v>
      </c>
      <c r="G4" s="27" t="s">
        <v>70</v>
      </c>
      <c r="H4" s="27" t="s">
        <v>71</v>
      </c>
      <c r="I4" s="27" t="s">
        <v>72</v>
      </c>
      <c r="J4" s="27" t="s">
        <v>73</v>
      </c>
      <c r="K4" s="27" t="s">
        <v>74</v>
      </c>
      <c r="L4" s="27" t="s">
        <v>75</v>
      </c>
      <c r="M4" s="27" t="s">
        <v>76</v>
      </c>
      <c r="N4" s="27" t="s">
        <v>77</v>
      </c>
      <c r="O4" s="27" t="s">
        <v>78</v>
      </c>
    </row>
    <row r="5" s="90" customFormat="1" ht="24" customHeight="1" spans="1:15">
      <c r="A5" s="34" t="s">
        <v>48</v>
      </c>
      <c r="B5" s="34">
        <v>155</v>
      </c>
      <c r="C5" s="34">
        <v>77</v>
      </c>
      <c r="D5" s="34">
        <f t="shared" ref="D5:D14" si="0">B5+C5</f>
        <v>232</v>
      </c>
      <c r="E5" s="95">
        <v>768497</v>
      </c>
      <c r="F5" s="95">
        <v>425944</v>
      </c>
      <c r="G5" s="95">
        <f>E5*12</f>
        <v>9221964</v>
      </c>
      <c r="H5" s="95">
        <f t="shared" ref="H5:H14" si="1">F5</f>
        <v>425944</v>
      </c>
      <c r="I5" s="95">
        <v>1786607.04</v>
      </c>
      <c r="J5" s="95">
        <f t="shared" ref="J5:J14" si="2">I5/2</f>
        <v>893303.52</v>
      </c>
      <c r="K5" s="95">
        <f>54800*12</f>
        <v>657600</v>
      </c>
      <c r="L5" s="95">
        <f t="shared" ref="L5:L14" si="3">(930+800+36)*D5</f>
        <v>409712</v>
      </c>
      <c r="M5" s="95">
        <f t="shared" ref="M5:M14" si="4">G5*0.1</f>
        <v>922196.4</v>
      </c>
      <c r="N5" s="95">
        <f t="shared" ref="N5:N14" si="5">G5*0.06</f>
        <v>553317.84</v>
      </c>
      <c r="O5" s="95">
        <f>G5+H5+J5+L5+M5+N5+K5+I5+5555</f>
        <v>14876199.8</v>
      </c>
    </row>
    <row r="6" s="90" customFormat="1" ht="24" customHeight="1" spans="1:15">
      <c r="A6" s="34" t="s">
        <v>51</v>
      </c>
      <c r="B6" s="34">
        <v>130</v>
      </c>
      <c r="C6" s="34">
        <v>51</v>
      </c>
      <c r="D6" s="34">
        <f t="shared" si="0"/>
        <v>181</v>
      </c>
      <c r="E6" s="95">
        <v>628108</v>
      </c>
      <c r="F6" s="95">
        <v>338958</v>
      </c>
      <c r="G6" s="95">
        <f t="shared" ref="G6:G14" si="6">E6*12</f>
        <v>7537296</v>
      </c>
      <c r="H6" s="95">
        <f t="shared" si="1"/>
        <v>338958</v>
      </c>
      <c r="I6" s="95">
        <v>1471422.24</v>
      </c>
      <c r="J6" s="95">
        <f t="shared" si="2"/>
        <v>735711.12</v>
      </c>
      <c r="K6" s="95">
        <f>46720*12</f>
        <v>560640</v>
      </c>
      <c r="L6" s="95">
        <f t="shared" si="3"/>
        <v>319646</v>
      </c>
      <c r="M6" s="95">
        <f t="shared" si="4"/>
        <v>753729.6</v>
      </c>
      <c r="N6" s="95">
        <f t="shared" si="5"/>
        <v>452237.76</v>
      </c>
      <c r="O6" s="95">
        <f>G6+H6+J6+L6+M6+N6+K6+I6+5555</f>
        <v>12175195.72</v>
      </c>
    </row>
    <row r="7" s="90" customFormat="1" ht="24" customHeight="1" spans="1:15">
      <c r="A7" s="34" t="s">
        <v>49</v>
      </c>
      <c r="B7" s="34">
        <v>129</v>
      </c>
      <c r="C7" s="34">
        <v>63</v>
      </c>
      <c r="D7" s="34">
        <f t="shared" si="0"/>
        <v>192</v>
      </c>
      <c r="E7" s="95">
        <v>631099</v>
      </c>
      <c r="F7" s="95">
        <v>317304</v>
      </c>
      <c r="G7" s="95">
        <f t="shared" si="6"/>
        <v>7573188</v>
      </c>
      <c r="H7" s="95">
        <f t="shared" si="1"/>
        <v>317304</v>
      </c>
      <c r="I7" s="95">
        <v>1486596.36</v>
      </c>
      <c r="J7" s="95">
        <f t="shared" si="2"/>
        <v>743298.18</v>
      </c>
      <c r="K7" s="95">
        <f>44740*12</f>
        <v>536880</v>
      </c>
      <c r="L7" s="95">
        <f t="shared" si="3"/>
        <v>339072</v>
      </c>
      <c r="M7" s="95">
        <f t="shared" si="4"/>
        <v>757318.8</v>
      </c>
      <c r="N7" s="95">
        <f t="shared" si="5"/>
        <v>454391.28</v>
      </c>
      <c r="O7" s="95">
        <f t="shared" ref="O7:O14" si="7">G7+H7+J7+L7+M7+N7+K7+I7</f>
        <v>12208048.62</v>
      </c>
    </row>
    <row r="8" s="90" customFormat="1" ht="24" customHeight="1" spans="1:15">
      <c r="A8" s="34" t="s">
        <v>52</v>
      </c>
      <c r="B8" s="34">
        <v>105</v>
      </c>
      <c r="C8" s="34">
        <v>58</v>
      </c>
      <c r="D8" s="34">
        <f t="shared" si="0"/>
        <v>163</v>
      </c>
      <c r="E8" s="95">
        <v>463130</v>
      </c>
      <c r="F8" s="95">
        <v>241697</v>
      </c>
      <c r="G8" s="95">
        <f t="shared" si="6"/>
        <v>5557560</v>
      </c>
      <c r="H8" s="95">
        <f t="shared" si="1"/>
        <v>241697</v>
      </c>
      <c r="I8" s="95">
        <v>1042005.84</v>
      </c>
      <c r="J8" s="95">
        <f t="shared" si="2"/>
        <v>521002.92</v>
      </c>
      <c r="K8" s="95">
        <f>29100*12</f>
        <v>349200</v>
      </c>
      <c r="L8" s="95">
        <f t="shared" si="3"/>
        <v>287858</v>
      </c>
      <c r="M8" s="95">
        <f t="shared" si="4"/>
        <v>555756</v>
      </c>
      <c r="N8" s="95">
        <f t="shared" si="5"/>
        <v>333453.6</v>
      </c>
      <c r="O8" s="95">
        <f t="shared" si="7"/>
        <v>8888533.36</v>
      </c>
    </row>
    <row r="9" s="90" customFormat="1" ht="24" customHeight="1" spans="1:15">
      <c r="A9" s="34" t="s">
        <v>53</v>
      </c>
      <c r="B9" s="34">
        <v>57</v>
      </c>
      <c r="C9" s="34">
        <v>16</v>
      </c>
      <c r="D9" s="34">
        <f t="shared" si="0"/>
        <v>73</v>
      </c>
      <c r="E9" s="95">
        <v>246659</v>
      </c>
      <c r="F9" s="95">
        <v>135006</v>
      </c>
      <c r="G9" s="95">
        <f t="shared" si="6"/>
        <v>2959908</v>
      </c>
      <c r="H9" s="95">
        <f t="shared" si="1"/>
        <v>135006</v>
      </c>
      <c r="I9" s="95">
        <v>579078.72</v>
      </c>
      <c r="J9" s="95">
        <f t="shared" si="2"/>
        <v>289539.36</v>
      </c>
      <c r="K9" s="95">
        <f>17520*12</f>
        <v>210240</v>
      </c>
      <c r="L9" s="95">
        <f t="shared" si="3"/>
        <v>128918</v>
      </c>
      <c r="M9" s="95">
        <f t="shared" si="4"/>
        <v>295990.8</v>
      </c>
      <c r="N9" s="95">
        <f t="shared" si="5"/>
        <v>177594.48</v>
      </c>
      <c r="O9" s="95">
        <f t="shared" si="7"/>
        <v>4776275.36</v>
      </c>
    </row>
    <row r="10" s="90" customFormat="1" ht="24" customHeight="1" spans="1:15">
      <c r="A10" s="34" t="s">
        <v>50</v>
      </c>
      <c r="B10" s="34">
        <v>42</v>
      </c>
      <c r="C10" s="34">
        <v>8</v>
      </c>
      <c r="D10" s="34">
        <f t="shared" si="0"/>
        <v>50</v>
      </c>
      <c r="E10" s="95">
        <v>184828</v>
      </c>
      <c r="F10" s="95">
        <v>98235</v>
      </c>
      <c r="G10" s="95">
        <f t="shared" si="6"/>
        <v>2217936</v>
      </c>
      <c r="H10" s="95">
        <f t="shared" si="1"/>
        <v>98235</v>
      </c>
      <c r="I10" s="95">
        <v>427476.48</v>
      </c>
      <c r="J10" s="95">
        <f t="shared" si="2"/>
        <v>213738.24</v>
      </c>
      <c r="K10" s="95">
        <f>10650*12</f>
        <v>127800</v>
      </c>
      <c r="L10" s="95">
        <f t="shared" si="3"/>
        <v>88300</v>
      </c>
      <c r="M10" s="95">
        <f t="shared" si="4"/>
        <v>221793.6</v>
      </c>
      <c r="N10" s="95">
        <f t="shared" si="5"/>
        <v>133076.16</v>
      </c>
      <c r="O10" s="95">
        <f t="shared" si="7"/>
        <v>3528355.48</v>
      </c>
    </row>
    <row r="11" s="90" customFormat="1" ht="24" customHeight="1" spans="1:15">
      <c r="A11" s="34" t="s">
        <v>54</v>
      </c>
      <c r="B11" s="34">
        <v>76</v>
      </c>
      <c r="C11" s="34">
        <v>26</v>
      </c>
      <c r="D11" s="34">
        <f t="shared" si="0"/>
        <v>102</v>
      </c>
      <c r="E11" s="95">
        <v>332180</v>
      </c>
      <c r="F11" s="95">
        <v>185743</v>
      </c>
      <c r="G11" s="95">
        <f t="shared" si="6"/>
        <v>3986160</v>
      </c>
      <c r="H11" s="95">
        <f t="shared" si="1"/>
        <v>185743</v>
      </c>
      <c r="I11" s="95">
        <v>795410.28</v>
      </c>
      <c r="J11" s="95">
        <f t="shared" si="2"/>
        <v>397705.14</v>
      </c>
      <c r="K11" s="95">
        <f>20450*12</f>
        <v>245400</v>
      </c>
      <c r="L11" s="95">
        <f t="shared" si="3"/>
        <v>180132</v>
      </c>
      <c r="M11" s="95">
        <f t="shared" si="4"/>
        <v>398616</v>
      </c>
      <c r="N11" s="95">
        <f t="shared" si="5"/>
        <v>239169.6</v>
      </c>
      <c r="O11" s="95">
        <f t="shared" si="7"/>
        <v>6428336.02</v>
      </c>
    </row>
    <row r="12" s="90" customFormat="1" ht="24" customHeight="1" spans="1:15">
      <c r="A12" s="34" t="s">
        <v>55</v>
      </c>
      <c r="B12" s="34">
        <v>75</v>
      </c>
      <c r="C12" s="34">
        <v>23</v>
      </c>
      <c r="D12" s="34">
        <f t="shared" si="0"/>
        <v>98</v>
      </c>
      <c r="E12" s="95">
        <v>340650</v>
      </c>
      <c r="F12" s="95">
        <v>177199</v>
      </c>
      <c r="G12" s="95">
        <f t="shared" si="6"/>
        <v>4087800</v>
      </c>
      <c r="H12" s="95">
        <f t="shared" si="1"/>
        <v>177199</v>
      </c>
      <c r="I12" s="95">
        <v>791367.72</v>
      </c>
      <c r="J12" s="95">
        <f t="shared" si="2"/>
        <v>395683.86</v>
      </c>
      <c r="K12" s="95">
        <f>25210*12</f>
        <v>302520</v>
      </c>
      <c r="L12" s="95">
        <f t="shared" si="3"/>
        <v>173068</v>
      </c>
      <c r="M12" s="95">
        <f t="shared" si="4"/>
        <v>408780</v>
      </c>
      <c r="N12" s="95">
        <f t="shared" si="5"/>
        <v>245268</v>
      </c>
      <c r="O12" s="95">
        <f t="shared" si="7"/>
        <v>6581686.58</v>
      </c>
    </row>
    <row r="13" s="90" customFormat="1" ht="24" customHeight="1" spans="1:15">
      <c r="A13" s="34" t="s">
        <v>56</v>
      </c>
      <c r="B13" s="34">
        <v>95</v>
      </c>
      <c r="C13" s="34">
        <v>56</v>
      </c>
      <c r="D13" s="34">
        <f t="shared" si="0"/>
        <v>151</v>
      </c>
      <c r="E13" s="95">
        <v>419175</v>
      </c>
      <c r="F13" s="95">
        <v>222648</v>
      </c>
      <c r="G13" s="95">
        <f t="shared" si="6"/>
        <v>5030100</v>
      </c>
      <c r="H13" s="95">
        <f t="shared" si="1"/>
        <v>222648</v>
      </c>
      <c r="I13" s="95">
        <v>975369.84</v>
      </c>
      <c r="J13" s="95">
        <f t="shared" si="2"/>
        <v>487684.92</v>
      </c>
      <c r="K13" s="95">
        <f>25980*12</f>
        <v>311760</v>
      </c>
      <c r="L13" s="95">
        <f t="shared" si="3"/>
        <v>266666</v>
      </c>
      <c r="M13" s="95">
        <f t="shared" si="4"/>
        <v>503010</v>
      </c>
      <c r="N13" s="95">
        <f t="shared" si="5"/>
        <v>301806</v>
      </c>
      <c r="O13" s="95">
        <f t="shared" si="7"/>
        <v>8099044.76</v>
      </c>
    </row>
    <row r="14" s="90" customFormat="1" ht="24" customHeight="1" spans="1:15">
      <c r="A14" s="34" t="s">
        <v>57</v>
      </c>
      <c r="B14" s="34">
        <v>125</v>
      </c>
      <c r="C14" s="34">
        <v>48</v>
      </c>
      <c r="D14" s="34">
        <f t="shared" si="0"/>
        <v>173</v>
      </c>
      <c r="E14" s="95">
        <v>372526</v>
      </c>
      <c r="F14" s="95">
        <v>215069</v>
      </c>
      <c r="G14" s="95">
        <f t="shared" si="6"/>
        <v>4470312</v>
      </c>
      <c r="H14" s="95">
        <f t="shared" si="1"/>
        <v>215069</v>
      </c>
      <c r="I14" s="95">
        <v>819492.36</v>
      </c>
      <c r="J14" s="95">
        <f t="shared" si="2"/>
        <v>409746.18</v>
      </c>
      <c r="K14" s="95">
        <f>20710*12</f>
        <v>248520</v>
      </c>
      <c r="L14" s="95">
        <f t="shared" si="3"/>
        <v>305518</v>
      </c>
      <c r="M14" s="95">
        <f t="shared" si="4"/>
        <v>447031.2</v>
      </c>
      <c r="N14" s="95">
        <f t="shared" si="5"/>
        <v>268218.72</v>
      </c>
      <c r="O14" s="95">
        <f t="shared" si="7"/>
        <v>7183907.46</v>
      </c>
    </row>
    <row r="15" s="90" customFormat="1" ht="24" customHeight="1" spans="1:15">
      <c r="A15" s="27" t="s">
        <v>79</v>
      </c>
      <c r="B15" s="34"/>
      <c r="C15" s="34"/>
      <c r="D15" s="34"/>
      <c r="E15" s="95"/>
      <c r="F15" s="95"/>
      <c r="G15" s="95"/>
      <c r="H15" s="95"/>
      <c r="I15" s="95"/>
      <c r="J15" s="95"/>
      <c r="K15" s="95"/>
      <c r="L15" s="95"/>
      <c r="M15" s="95"/>
      <c r="N15" s="95"/>
      <c r="O15" s="95">
        <v>5840000</v>
      </c>
    </row>
    <row r="16" ht="24" customHeight="1" spans="1:15">
      <c r="A16" s="34" t="s">
        <v>80</v>
      </c>
      <c r="B16" s="34">
        <f t="shared" ref="B16:N16" si="8">SUM(B5:B14)</f>
        <v>989</v>
      </c>
      <c r="C16" s="34">
        <f t="shared" si="8"/>
        <v>426</v>
      </c>
      <c r="D16" s="34">
        <f t="shared" si="8"/>
        <v>1415</v>
      </c>
      <c r="E16" s="95">
        <f t="shared" si="8"/>
        <v>4386852</v>
      </c>
      <c r="F16" s="95">
        <f t="shared" si="8"/>
        <v>2357803</v>
      </c>
      <c r="G16" s="95">
        <f t="shared" si="8"/>
        <v>52642224</v>
      </c>
      <c r="H16" s="95">
        <f t="shared" si="8"/>
        <v>2357803</v>
      </c>
      <c r="I16" s="95">
        <f t="shared" si="8"/>
        <v>10174826.88</v>
      </c>
      <c r="J16" s="95">
        <f t="shared" si="8"/>
        <v>5087413.44</v>
      </c>
      <c r="K16" s="95">
        <f t="shared" si="8"/>
        <v>3550560</v>
      </c>
      <c r="L16" s="95">
        <f t="shared" si="8"/>
        <v>2498890</v>
      </c>
      <c r="M16" s="95">
        <f t="shared" si="8"/>
        <v>5264222.4</v>
      </c>
      <c r="N16" s="95">
        <f t="shared" si="8"/>
        <v>3158533.44</v>
      </c>
      <c r="O16" s="95">
        <f>SUM(O5:O15)</f>
        <v>90585583.16</v>
      </c>
    </row>
    <row r="17" ht="51" customHeight="1" spans="1:15">
      <c r="A17" s="96" t="s">
        <v>81</v>
      </c>
      <c r="B17" s="96"/>
      <c r="C17" s="96"/>
      <c r="D17" s="96"/>
      <c r="E17" s="96"/>
      <c r="F17" s="96"/>
      <c r="G17" s="96"/>
      <c r="H17" s="96"/>
      <c r="I17" s="96"/>
      <c r="J17" s="96"/>
      <c r="K17" s="96"/>
      <c r="L17" s="96"/>
      <c r="M17" s="96"/>
      <c r="N17" s="96"/>
      <c r="O17" s="96"/>
    </row>
  </sheetData>
  <mergeCells count="7">
    <mergeCell ref="A1:O1"/>
    <mergeCell ref="K2:L2"/>
    <mergeCell ref="B3:D3"/>
    <mergeCell ref="E3:F3"/>
    <mergeCell ref="G3:O3"/>
    <mergeCell ref="A17:O17"/>
    <mergeCell ref="A3:A4"/>
  </mergeCells>
  <printOptions horizontalCentered="1"/>
  <pageMargins left="0.786805555555556" right="0.786805555555556" top="0.865972222222222" bottom="0.393055555555556" header="0.511805555555556" footer="0.118055555555556"/>
  <pageSetup paperSize="9" scale="99" firstPageNumber="145" orientation="landscape" useFirstPageNumber="1"/>
  <headerFooter differentOddEven="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FFCC"/>
  </sheetPr>
  <dimension ref="A1:T17"/>
  <sheetViews>
    <sheetView workbookViewId="0">
      <selection activeCell="H9" sqref="H9"/>
    </sheetView>
  </sheetViews>
  <sheetFormatPr defaultColWidth="9" defaultRowHeight="14.25"/>
  <cols>
    <col min="1" max="1" width="8.625" style="22" customWidth="1"/>
    <col min="2" max="7" width="4.75" style="22" customWidth="1"/>
    <col min="8" max="8" width="7.375" style="22" customWidth="1"/>
    <col min="9" max="9" width="7.125" style="22" customWidth="1"/>
    <col min="10" max="10" width="5.875" style="22" customWidth="1"/>
    <col min="11" max="11" width="6.875" style="22" customWidth="1"/>
    <col min="12" max="12" width="6.25" style="22" customWidth="1"/>
    <col min="13" max="13" width="5.75" style="22" customWidth="1"/>
    <col min="14" max="14" width="5.875" style="22" customWidth="1"/>
    <col min="15" max="15" width="9" style="22"/>
    <col min="16" max="16" width="8.75" style="22" customWidth="1"/>
    <col min="17" max="17" width="6" style="22" customWidth="1"/>
    <col min="18" max="19" width="6.125" style="22" customWidth="1"/>
    <col min="20" max="20" width="8" style="22" customWidth="1"/>
    <col min="21" max="16384" width="9" style="22"/>
  </cols>
  <sheetData>
    <row r="1" ht="25.5" spans="1:20">
      <c r="A1" s="77" t="s">
        <v>82</v>
      </c>
      <c r="B1" s="77"/>
      <c r="C1" s="77"/>
      <c r="D1" s="77"/>
      <c r="E1" s="77"/>
      <c r="F1" s="77"/>
      <c r="G1" s="77"/>
      <c r="H1" s="77"/>
      <c r="I1" s="77"/>
      <c r="J1" s="77"/>
      <c r="K1" s="77"/>
      <c r="L1" s="77"/>
      <c r="M1" s="77"/>
      <c r="N1" s="77"/>
      <c r="O1" s="77"/>
      <c r="P1" s="77"/>
      <c r="Q1" s="77"/>
      <c r="R1" s="77"/>
      <c r="S1" s="77"/>
      <c r="T1" s="77"/>
    </row>
    <row r="2" spans="1:20">
      <c r="A2" s="78"/>
      <c r="B2" s="78"/>
      <c r="C2" s="78"/>
      <c r="D2" s="79"/>
      <c r="E2" s="79"/>
      <c r="F2" s="79"/>
      <c r="G2" s="79"/>
      <c r="H2" s="78"/>
      <c r="I2" s="79"/>
      <c r="J2" s="79"/>
      <c r="K2" s="79"/>
      <c r="L2" s="79"/>
      <c r="M2" s="79"/>
      <c r="N2" s="79"/>
      <c r="O2" s="78"/>
      <c r="P2" s="78"/>
      <c r="Q2" s="87" t="s">
        <v>83</v>
      </c>
      <c r="R2" s="87"/>
      <c r="S2" s="87"/>
      <c r="T2" s="87"/>
    </row>
    <row r="3" ht="29.25" customHeight="1" spans="1:20">
      <c r="A3" s="27" t="s">
        <v>36</v>
      </c>
      <c r="B3" s="27" t="s">
        <v>84</v>
      </c>
      <c r="C3" s="27"/>
      <c r="D3" s="27"/>
      <c r="E3" s="27" t="s">
        <v>85</v>
      </c>
      <c r="F3" s="27"/>
      <c r="G3" s="27"/>
      <c r="H3" s="29"/>
      <c r="I3" s="29"/>
      <c r="J3" s="29"/>
      <c r="K3" s="29"/>
      <c r="L3" s="29"/>
      <c r="M3" s="29"/>
      <c r="N3" s="30"/>
      <c r="O3" s="86" t="s">
        <v>86</v>
      </c>
      <c r="P3" s="86"/>
      <c r="Q3" s="86"/>
      <c r="R3" s="86" t="s">
        <v>87</v>
      </c>
      <c r="S3" s="80" t="s">
        <v>88</v>
      </c>
      <c r="T3" s="86" t="s">
        <v>46</v>
      </c>
    </row>
    <row r="4" ht="45" customHeight="1" spans="1:20">
      <c r="A4" s="27"/>
      <c r="B4" s="56" t="s">
        <v>89</v>
      </c>
      <c r="C4" s="56" t="s">
        <v>90</v>
      </c>
      <c r="D4" s="56" t="s">
        <v>67</v>
      </c>
      <c r="E4" s="56" t="s">
        <v>91</v>
      </c>
      <c r="F4" s="56" t="s">
        <v>92</v>
      </c>
      <c r="G4" s="56" t="s">
        <v>93</v>
      </c>
      <c r="H4" s="80" t="s">
        <v>94</v>
      </c>
      <c r="I4" s="80" t="s">
        <v>95</v>
      </c>
      <c r="J4" s="80" t="s">
        <v>96</v>
      </c>
      <c r="K4" s="80" t="s">
        <v>67</v>
      </c>
      <c r="L4" s="28" t="s">
        <v>97</v>
      </c>
      <c r="M4" s="29"/>
      <c r="N4" s="30"/>
      <c r="O4" s="80" t="s">
        <v>98</v>
      </c>
      <c r="P4" s="80" t="s">
        <v>99</v>
      </c>
      <c r="Q4" s="80" t="s">
        <v>67</v>
      </c>
      <c r="R4" s="80" t="s">
        <v>100</v>
      </c>
      <c r="S4" s="88"/>
      <c r="T4" s="86"/>
    </row>
    <row r="5" ht="79.5" customHeight="1" spans="1:20">
      <c r="A5" s="27"/>
      <c r="B5" s="60"/>
      <c r="C5" s="60"/>
      <c r="D5" s="60"/>
      <c r="E5" s="60"/>
      <c r="F5" s="60"/>
      <c r="G5" s="60"/>
      <c r="H5" s="81"/>
      <c r="I5" s="81"/>
      <c r="J5" s="81"/>
      <c r="K5" s="81"/>
      <c r="L5" s="81" t="s">
        <v>67</v>
      </c>
      <c r="M5" s="86" t="s">
        <v>101</v>
      </c>
      <c r="N5" s="86" t="s">
        <v>102</v>
      </c>
      <c r="O5" s="81"/>
      <c r="P5" s="81"/>
      <c r="Q5" s="81"/>
      <c r="R5" s="81"/>
      <c r="S5" s="81"/>
      <c r="T5" s="86"/>
    </row>
    <row r="6" ht="24" customHeight="1" spans="1:20">
      <c r="A6" s="34" t="s">
        <v>48</v>
      </c>
      <c r="B6" s="82">
        <v>65</v>
      </c>
      <c r="C6" s="82">
        <v>93</v>
      </c>
      <c r="D6" s="82">
        <f t="shared" ref="D6:D15" si="0">B6+C6</f>
        <v>158</v>
      </c>
      <c r="E6" s="82">
        <v>124</v>
      </c>
      <c r="F6" s="82">
        <v>134</v>
      </c>
      <c r="G6" s="82">
        <v>303</v>
      </c>
      <c r="H6" s="83">
        <f t="shared" ref="H6:H15" si="1">D6*0.8</f>
        <v>126.4</v>
      </c>
      <c r="I6" s="83"/>
      <c r="J6" s="83">
        <f>20+6</f>
        <v>26</v>
      </c>
      <c r="K6" s="83">
        <f t="shared" ref="K6:K15" si="2">SUM(H6:J6)</f>
        <v>152.4</v>
      </c>
      <c r="L6" s="83">
        <f t="shared" ref="L6:L16" si="3">M6+N6</f>
        <v>70</v>
      </c>
      <c r="M6" s="83">
        <v>10</v>
      </c>
      <c r="N6" s="83">
        <f>54+6</f>
        <v>60</v>
      </c>
      <c r="O6" s="83">
        <v>8</v>
      </c>
      <c r="P6" s="83">
        <v>7</v>
      </c>
      <c r="Q6" s="83">
        <f t="shared" ref="Q6:Q16" si="4">O6+P6</f>
        <v>15</v>
      </c>
      <c r="R6" s="83">
        <v>3</v>
      </c>
      <c r="S6" s="83">
        <v>48.72</v>
      </c>
      <c r="T6" s="89">
        <f t="shared" ref="T6:T15" si="5">K6+Q6+R6+S6</f>
        <v>219.12</v>
      </c>
    </row>
    <row r="7" ht="24" customHeight="1" spans="1:20">
      <c r="A7" s="34" t="s">
        <v>51</v>
      </c>
      <c r="B7" s="82">
        <v>55</v>
      </c>
      <c r="C7" s="82">
        <v>73</v>
      </c>
      <c r="D7" s="82">
        <f t="shared" si="0"/>
        <v>128</v>
      </c>
      <c r="E7" s="82">
        <v>94</v>
      </c>
      <c r="F7" s="82">
        <v>74</v>
      </c>
      <c r="G7" s="82">
        <v>244</v>
      </c>
      <c r="H7" s="83">
        <f t="shared" si="1"/>
        <v>102.4</v>
      </c>
      <c r="I7" s="83"/>
      <c r="J7" s="83">
        <f>7.5+20</f>
        <v>27.5</v>
      </c>
      <c r="K7" s="83">
        <f t="shared" si="2"/>
        <v>129.9</v>
      </c>
      <c r="L7" s="83">
        <f t="shared" si="3"/>
        <v>71.5</v>
      </c>
      <c r="M7" s="83">
        <v>18</v>
      </c>
      <c r="N7" s="83">
        <f>7.5+46</f>
        <v>53.5</v>
      </c>
      <c r="O7" s="83">
        <v>5</v>
      </c>
      <c r="P7" s="83">
        <v>6</v>
      </c>
      <c r="Q7" s="83">
        <f t="shared" si="4"/>
        <v>11</v>
      </c>
      <c r="R7" s="83">
        <v>3</v>
      </c>
      <c r="S7" s="83">
        <v>41.76</v>
      </c>
      <c r="T7" s="89">
        <f t="shared" si="5"/>
        <v>185.66</v>
      </c>
    </row>
    <row r="8" ht="24" customHeight="1" spans="1:20">
      <c r="A8" s="34" t="s">
        <v>49</v>
      </c>
      <c r="B8" s="82">
        <v>55</v>
      </c>
      <c r="C8" s="82">
        <v>68</v>
      </c>
      <c r="D8" s="82">
        <f t="shared" si="0"/>
        <v>123</v>
      </c>
      <c r="E8" s="82">
        <v>117</v>
      </c>
      <c r="F8" s="82">
        <v>110</v>
      </c>
      <c r="G8" s="82">
        <v>223</v>
      </c>
      <c r="H8" s="83">
        <f t="shared" si="1"/>
        <v>98.4</v>
      </c>
      <c r="I8" s="83"/>
      <c r="J8" s="83">
        <f>20+7</f>
        <v>27</v>
      </c>
      <c r="K8" s="83">
        <f t="shared" si="2"/>
        <v>125.4</v>
      </c>
      <c r="L8" s="83">
        <f t="shared" si="3"/>
        <v>68</v>
      </c>
      <c r="M8" s="83">
        <v>15</v>
      </c>
      <c r="N8" s="83">
        <f>7+46</f>
        <v>53</v>
      </c>
      <c r="O8" s="83">
        <v>7</v>
      </c>
      <c r="P8" s="83">
        <v>6</v>
      </c>
      <c r="Q8" s="83">
        <f t="shared" si="4"/>
        <v>13</v>
      </c>
      <c r="R8" s="83">
        <v>2</v>
      </c>
      <c r="S8" s="83">
        <v>36.11</v>
      </c>
      <c r="T8" s="89">
        <f t="shared" si="5"/>
        <v>176.51</v>
      </c>
    </row>
    <row r="9" ht="24" customHeight="1" spans="1:20">
      <c r="A9" s="34" t="s">
        <v>52</v>
      </c>
      <c r="B9" s="82">
        <v>46</v>
      </c>
      <c r="C9" s="82">
        <v>58</v>
      </c>
      <c r="D9" s="82">
        <f t="shared" si="0"/>
        <v>104</v>
      </c>
      <c r="E9" s="82">
        <v>83</v>
      </c>
      <c r="F9" s="82">
        <v>54</v>
      </c>
      <c r="G9" s="82">
        <v>175</v>
      </c>
      <c r="H9" s="83">
        <f t="shared" si="1"/>
        <v>83.2</v>
      </c>
      <c r="I9" s="83"/>
      <c r="J9" s="83">
        <f>8+20</f>
        <v>28</v>
      </c>
      <c r="K9" s="83">
        <f t="shared" si="2"/>
        <v>111.2</v>
      </c>
      <c r="L9" s="83">
        <f t="shared" si="3"/>
        <v>62</v>
      </c>
      <c r="M9" s="83">
        <v>14</v>
      </c>
      <c r="N9" s="83">
        <f>8+40</f>
        <v>48</v>
      </c>
      <c r="O9" s="83">
        <v>4</v>
      </c>
      <c r="P9" s="83">
        <v>4</v>
      </c>
      <c r="Q9" s="83">
        <f t="shared" si="4"/>
        <v>8</v>
      </c>
      <c r="R9" s="83">
        <v>2</v>
      </c>
      <c r="S9" s="83">
        <v>27.24</v>
      </c>
      <c r="T9" s="89">
        <f t="shared" si="5"/>
        <v>148.44</v>
      </c>
    </row>
    <row r="10" ht="24" customHeight="1" spans="1:20">
      <c r="A10" s="34" t="s">
        <v>53</v>
      </c>
      <c r="B10" s="82">
        <v>28</v>
      </c>
      <c r="C10" s="82">
        <v>29</v>
      </c>
      <c r="D10" s="82">
        <f t="shared" si="0"/>
        <v>57</v>
      </c>
      <c r="E10" s="82">
        <v>60</v>
      </c>
      <c r="F10" s="82">
        <v>50</v>
      </c>
      <c r="G10" s="82">
        <v>94</v>
      </c>
      <c r="H10" s="83">
        <f t="shared" si="1"/>
        <v>45.6</v>
      </c>
      <c r="I10" s="83"/>
      <c r="J10" s="83">
        <f>11+20</f>
        <v>31</v>
      </c>
      <c r="K10" s="83">
        <f t="shared" si="2"/>
        <v>76.6</v>
      </c>
      <c r="L10" s="83">
        <f t="shared" si="3"/>
        <v>45</v>
      </c>
      <c r="M10" s="83">
        <v>10</v>
      </c>
      <c r="N10" s="83">
        <f>11+30-6</f>
        <v>35</v>
      </c>
      <c r="O10" s="83">
        <v>3</v>
      </c>
      <c r="P10" s="83">
        <v>2</v>
      </c>
      <c r="Q10" s="83">
        <f t="shared" si="4"/>
        <v>5</v>
      </c>
      <c r="R10" s="83">
        <v>2</v>
      </c>
      <c r="S10" s="83">
        <v>17.85</v>
      </c>
      <c r="T10" s="89">
        <f t="shared" si="5"/>
        <v>101.45</v>
      </c>
    </row>
    <row r="11" ht="24" customHeight="1" spans="1:20">
      <c r="A11" s="34" t="s">
        <v>50</v>
      </c>
      <c r="B11" s="82">
        <v>28</v>
      </c>
      <c r="C11" s="82">
        <v>26</v>
      </c>
      <c r="D11" s="82">
        <f t="shared" si="0"/>
        <v>54</v>
      </c>
      <c r="E11" s="82">
        <v>56</v>
      </c>
      <c r="F11" s="82">
        <v>47</v>
      </c>
      <c r="G11" s="82">
        <v>91</v>
      </c>
      <c r="H11" s="83">
        <f t="shared" si="1"/>
        <v>43.2</v>
      </c>
      <c r="I11" s="83">
        <f>D11*0.15</f>
        <v>8.1</v>
      </c>
      <c r="J11" s="83">
        <f>20+7</f>
        <v>27</v>
      </c>
      <c r="K11" s="83">
        <f t="shared" si="2"/>
        <v>78.3</v>
      </c>
      <c r="L11" s="83">
        <f t="shared" si="3"/>
        <v>47</v>
      </c>
      <c r="M11" s="83">
        <v>10</v>
      </c>
      <c r="N11" s="83">
        <f>7+30</f>
        <v>37</v>
      </c>
      <c r="O11" s="83">
        <v>3</v>
      </c>
      <c r="P11" s="83">
        <v>2</v>
      </c>
      <c r="Q11" s="83">
        <f t="shared" si="4"/>
        <v>5</v>
      </c>
      <c r="R11" s="83">
        <v>1</v>
      </c>
      <c r="S11" s="83">
        <v>13.82</v>
      </c>
      <c r="T11" s="89">
        <f t="shared" si="5"/>
        <v>98.12</v>
      </c>
    </row>
    <row r="12" ht="24" customHeight="1" spans="1:20">
      <c r="A12" s="34" t="s">
        <v>54</v>
      </c>
      <c r="B12" s="82">
        <v>36</v>
      </c>
      <c r="C12" s="82">
        <v>45</v>
      </c>
      <c r="D12" s="82">
        <f t="shared" si="0"/>
        <v>81</v>
      </c>
      <c r="E12" s="82">
        <v>60</v>
      </c>
      <c r="F12" s="82">
        <v>46</v>
      </c>
      <c r="G12" s="82">
        <v>139</v>
      </c>
      <c r="H12" s="83">
        <f t="shared" si="1"/>
        <v>64.8</v>
      </c>
      <c r="I12" s="83">
        <f>D12*0.15</f>
        <v>12.15</v>
      </c>
      <c r="J12" s="83">
        <f>11+20</f>
        <v>31</v>
      </c>
      <c r="K12" s="83">
        <f t="shared" si="2"/>
        <v>107.95</v>
      </c>
      <c r="L12" s="83">
        <f t="shared" si="3"/>
        <v>53</v>
      </c>
      <c r="M12" s="83">
        <v>10</v>
      </c>
      <c r="N12" s="83">
        <f>11+32</f>
        <v>43</v>
      </c>
      <c r="O12" s="83">
        <v>3</v>
      </c>
      <c r="P12" s="83">
        <v>3</v>
      </c>
      <c r="Q12" s="83">
        <f t="shared" si="4"/>
        <v>6</v>
      </c>
      <c r="R12" s="83">
        <v>2</v>
      </c>
      <c r="S12" s="83">
        <v>23.46</v>
      </c>
      <c r="T12" s="89">
        <f t="shared" si="5"/>
        <v>139.41</v>
      </c>
    </row>
    <row r="13" ht="24" customHeight="1" spans="1:20">
      <c r="A13" s="34" t="s">
        <v>55</v>
      </c>
      <c r="B13" s="82">
        <v>30</v>
      </c>
      <c r="C13" s="82">
        <v>43</v>
      </c>
      <c r="D13" s="82">
        <f t="shared" si="0"/>
        <v>73</v>
      </c>
      <c r="E13" s="82">
        <v>85</v>
      </c>
      <c r="F13" s="82">
        <v>91</v>
      </c>
      <c r="G13" s="82">
        <v>132</v>
      </c>
      <c r="H13" s="83">
        <f t="shared" si="1"/>
        <v>58.4</v>
      </c>
      <c r="I13" s="83">
        <f>D13*0.15</f>
        <v>10.95</v>
      </c>
      <c r="J13" s="83">
        <f>12.5+20</f>
        <v>32.5</v>
      </c>
      <c r="K13" s="83">
        <f t="shared" si="2"/>
        <v>101.85</v>
      </c>
      <c r="L13" s="83">
        <f t="shared" si="3"/>
        <v>56.5</v>
      </c>
      <c r="M13" s="83">
        <v>12</v>
      </c>
      <c r="N13" s="83">
        <f>12.5+32</f>
        <v>44.5</v>
      </c>
      <c r="O13" s="83">
        <v>5</v>
      </c>
      <c r="P13" s="83">
        <v>3</v>
      </c>
      <c r="Q13" s="83">
        <f t="shared" si="4"/>
        <v>8</v>
      </c>
      <c r="R13" s="83">
        <v>2</v>
      </c>
      <c r="S13" s="83">
        <v>23.61</v>
      </c>
      <c r="T13" s="89">
        <f t="shared" si="5"/>
        <v>135.46</v>
      </c>
    </row>
    <row r="14" ht="24" customHeight="1" spans="1:20">
      <c r="A14" s="34" t="s">
        <v>56</v>
      </c>
      <c r="B14" s="82">
        <v>55</v>
      </c>
      <c r="C14" s="82">
        <v>52</v>
      </c>
      <c r="D14" s="82">
        <f t="shared" si="0"/>
        <v>107</v>
      </c>
      <c r="E14" s="82">
        <v>114</v>
      </c>
      <c r="F14" s="82">
        <v>122</v>
      </c>
      <c r="G14" s="82">
        <v>232</v>
      </c>
      <c r="H14" s="83">
        <f t="shared" si="1"/>
        <v>85.6</v>
      </c>
      <c r="I14" s="83">
        <f>D14*0.15</f>
        <v>16.05</v>
      </c>
      <c r="J14" s="83">
        <f>15+20</f>
        <v>35</v>
      </c>
      <c r="K14" s="83">
        <f t="shared" si="2"/>
        <v>136.65</v>
      </c>
      <c r="L14" s="83">
        <f t="shared" si="3"/>
        <v>79</v>
      </c>
      <c r="M14" s="83">
        <v>18</v>
      </c>
      <c r="N14" s="83">
        <f>15+46</f>
        <v>61</v>
      </c>
      <c r="O14" s="83">
        <v>7</v>
      </c>
      <c r="P14" s="83">
        <v>6</v>
      </c>
      <c r="Q14" s="83">
        <f t="shared" si="4"/>
        <v>13</v>
      </c>
      <c r="R14" s="83">
        <v>2</v>
      </c>
      <c r="S14" s="83">
        <v>30.72</v>
      </c>
      <c r="T14" s="89">
        <f t="shared" si="5"/>
        <v>182.37</v>
      </c>
    </row>
    <row r="15" ht="24" customHeight="1" spans="1:20">
      <c r="A15" s="34" t="s">
        <v>57</v>
      </c>
      <c r="B15" s="82">
        <v>46</v>
      </c>
      <c r="C15" s="82">
        <v>52</v>
      </c>
      <c r="D15" s="82">
        <f t="shared" si="0"/>
        <v>98</v>
      </c>
      <c r="E15" s="82">
        <v>125</v>
      </c>
      <c r="F15" s="82">
        <v>95</v>
      </c>
      <c r="G15" s="82">
        <v>191</v>
      </c>
      <c r="H15" s="83">
        <f t="shared" si="1"/>
        <v>78.4</v>
      </c>
      <c r="I15" s="83">
        <f>D15*0.15</f>
        <v>14.7</v>
      </c>
      <c r="J15" s="83">
        <f>15+20</f>
        <v>35</v>
      </c>
      <c r="K15" s="83">
        <f t="shared" si="2"/>
        <v>128.1</v>
      </c>
      <c r="L15" s="83">
        <f t="shared" si="3"/>
        <v>68</v>
      </c>
      <c r="M15" s="83">
        <v>13</v>
      </c>
      <c r="N15" s="83">
        <f>15+40</f>
        <v>55</v>
      </c>
      <c r="O15" s="83">
        <v>6</v>
      </c>
      <c r="P15" s="83">
        <v>5</v>
      </c>
      <c r="Q15" s="83">
        <f t="shared" si="4"/>
        <v>11</v>
      </c>
      <c r="R15" s="83">
        <v>2</v>
      </c>
      <c r="S15" s="83">
        <v>21.59</v>
      </c>
      <c r="T15" s="89">
        <f t="shared" si="5"/>
        <v>162.69</v>
      </c>
    </row>
    <row r="16" ht="24" customHeight="1" spans="1:20">
      <c r="A16" s="36" t="s">
        <v>103</v>
      </c>
      <c r="B16" s="82">
        <f t="shared" ref="B16:K16" si="6">SUM(B6:B15)</f>
        <v>444</v>
      </c>
      <c r="C16" s="82">
        <f t="shared" si="6"/>
        <v>539</v>
      </c>
      <c r="D16" s="82">
        <f t="shared" si="6"/>
        <v>983</v>
      </c>
      <c r="E16" s="82">
        <f t="shared" si="6"/>
        <v>918</v>
      </c>
      <c r="F16" s="82">
        <f t="shared" si="6"/>
        <v>823</v>
      </c>
      <c r="G16" s="82">
        <f t="shared" si="6"/>
        <v>1824</v>
      </c>
      <c r="H16" s="83">
        <f t="shared" si="6"/>
        <v>786.4</v>
      </c>
      <c r="I16" s="83">
        <f t="shared" si="6"/>
        <v>61.95</v>
      </c>
      <c r="J16" s="83">
        <f t="shared" si="6"/>
        <v>300</v>
      </c>
      <c r="K16" s="83">
        <f t="shared" si="6"/>
        <v>1148.35</v>
      </c>
      <c r="L16" s="83">
        <f t="shared" si="3"/>
        <v>620</v>
      </c>
      <c r="M16" s="83">
        <f>SUM(M6:M15)</f>
        <v>130</v>
      </c>
      <c r="N16" s="83">
        <f>SUM(N6:N15)</f>
        <v>490</v>
      </c>
      <c r="O16" s="83">
        <f>SUM(O6:O15)</f>
        <v>51</v>
      </c>
      <c r="P16" s="83">
        <f>SUM(P6:P15)</f>
        <v>44</v>
      </c>
      <c r="Q16" s="83">
        <f t="shared" si="4"/>
        <v>95</v>
      </c>
      <c r="R16" s="83">
        <f>SUM(R6:R15)</f>
        <v>21</v>
      </c>
      <c r="S16" s="83">
        <f>SUM(S6:S15)</f>
        <v>284.88</v>
      </c>
      <c r="T16" s="89">
        <f>SUM(T6:T15)</f>
        <v>1549.23</v>
      </c>
    </row>
    <row r="17" ht="23.1" customHeight="1" spans="1:20">
      <c r="A17" s="84" t="s">
        <v>104</v>
      </c>
      <c r="B17" s="85"/>
      <c r="C17" s="85"/>
      <c r="D17" s="85"/>
      <c r="E17" s="85"/>
      <c r="F17" s="85"/>
      <c r="G17" s="85"/>
      <c r="H17" s="85"/>
      <c r="I17" s="85"/>
      <c r="J17" s="85"/>
      <c r="K17" s="85"/>
      <c r="L17" s="85"/>
      <c r="M17" s="85"/>
      <c r="N17" s="85"/>
      <c r="O17" s="85"/>
      <c r="P17" s="85"/>
      <c r="Q17" s="85"/>
      <c r="R17" s="85"/>
      <c r="S17" s="85"/>
      <c r="T17" s="85"/>
    </row>
  </sheetData>
  <mergeCells count="25">
    <mergeCell ref="A1:T1"/>
    <mergeCell ref="I2:K2"/>
    <mergeCell ref="Q2:T2"/>
    <mergeCell ref="B3:D3"/>
    <mergeCell ref="E3:G3"/>
    <mergeCell ref="H3:N3"/>
    <mergeCell ref="O3:Q3"/>
    <mergeCell ref="L4:N4"/>
    <mergeCell ref="A3:A5"/>
    <mergeCell ref="B4:B5"/>
    <mergeCell ref="C4:C5"/>
    <mergeCell ref="D4:D5"/>
    <mergeCell ref="E4:E5"/>
    <mergeCell ref="F4:F5"/>
    <mergeCell ref="G4:G5"/>
    <mergeCell ref="H4:H5"/>
    <mergeCell ref="I4:I5"/>
    <mergeCell ref="J4:J5"/>
    <mergeCell ref="K4:K5"/>
    <mergeCell ref="O4:O5"/>
    <mergeCell ref="P4:P5"/>
    <mergeCell ref="Q4:Q5"/>
    <mergeCell ref="R4:R5"/>
    <mergeCell ref="S3:S5"/>
    <mergeCell ref="T3:T5"/>
  </mergeCells>
  <pageMargins left="0.590277777777778" right="0.590277777777778" top="0.865972222222222" bottom="0.393055555555556" header="0.511805555555556" footer="0.118055555555556"/>
  <pageSetup paperSize="9" scale="99" firstPageNumber="146" orientation="landscape" useFirstPageNumber="1"/>
  <headerFooter differentOddEven="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FFCC"/>
  </sheetPr>
  <dimension ref="A1:O24"/>
  <sheetViews>
    <sheetView workbookViewId="0">
      <selection activeCell="A1" sqref="A1:O1"/>
    </sheetView>
  </sheetViews>
  <sheetFormatPr defaultColWidth="9" defaultRowHeight="14.25"/>
  <cols>
    <col min="1" max="1" width="10.375" style="22" customWidth="1"/>
    <col min="2" max="2" width="14" style="22" customWidth="1"/>
    <col min="3" max="3" width="13" style="22" customWidth="1"/>
    <col min="4" max="4" width="5.375" style="22" customWidth="1"/>
    <col min="5" max="5" width="12.875" style="22" customWidth="1"/>
    <col min="6" max="6" width="7.375" style="22" customWidth="1"/>
    <col min="7" max="7" width="7.25" style="22" customWidth="1"/>
    <col min="8" max="8" width="9.375" style="22" customWidth="1"/>
    <col min="9" max="9" width="17.875" style="22" customWidth="1"/>
    <col min="10" max="10" width="5.875" style="22" customWidth="1"/>
    <col min="11" max="11" width="8" style="22" customWidth="1"/>
    <col min="12" max="12" width="8.25" style="22" customWidth="1"/>
    <col min="13" max="13" width="6.625" style="22" customWidth="1"/>
    <col min="14" max="14" width="8.25" style="22" customWidth="1"/>
    <col min="15" max="15" width="8.375" style="22" customWidth="1"/>
    <col min="16" max="16384" width="9" style="22"/>
  </cols>
  <sheetData>
    <row r="1" ht="27.75" customHeight="1" spans="1:15">
      <c r="A1" s="65" t="s">
        <v>105</v>
      </c>
      <c r="B1" s="65"/>
      <c r="C1" s="65"/>
      <c r="D1" s="65"/>
      <c r="E1" s="65"/>
      <c r="F1" s="65"/>
      <c r="G1" s="65"/>
      <c r="H1" s="65"/>
      <c r="I1" s="65"/>
      <c r="J1" s="65"/>
      <c r="K1" s="65"/>
      <c r="L1" s="65"/>
      <c r="M1" s="65"/>
      <c r="N1" s="65"/>
      <c r="O1" s="65"/>
    </row>
    <row r="2" spans="1:15">
      <c r="A2" s="66" t="s">
        <v>106</v>
      </c>
      <c r="B2" s="66"/>
      <c r="C2" s="66"/>
      <c r="D2" s="66"/>
      <c r="E2" s="66"/>
      <c r="F2" s="66"/>
      <c r="G2" s="66"/>
      <c r="H2" s="66"/>
      <c r="I2" s="66"/>
      <c r="J2" s="66"/>
      <c r="K2" s="66"/>
      <c r="L2" s="66"/>
      <c r="M2" s="66"/>
      <c r="N2" s="66"/>
      <c r="O2" s="66"/>
    </row>
    <row r="3" customHeight="1" spans="1:15">
      <c r="A3" s="45" t="s">
        <v>36</v>
      </c>
      <c r="B3" s="34" t="s">
        <v>107</v>
      </c>
      <c r="C3" s="34"/>
      <c r="D3" s="34"/>
      <c r="E3" s="67" t="s">
        <v>108</v>
      </c>
      <c r="F3" s="67"/>
      <c r="G3" s="67"/>
      <c r="H3" s="67"/>
      <c r="I3" s="67"/>
      <c r="J3" s="67"/>
      <c r="K3" s="67"/>
      <c r="L3" s="67"/>
      <c r="M3" s="67"/>
      <c r="N3" s="67"/>
      <c r="O3" s="74"/>
    </row>
    <row r="4" ht="102.95" customHeight="1" spans="1:15">
      <c r="A4" s="56"/>
      <c r="B4" s="68" t="s">
        <v>109</v>
      </c>
      <c r="C4" s="68" t="s">
        <v>110</v>
      </c>
      <c r="D4" s="69" t="s">
        <v>67</v>
      </c>
      <c r="E4" s="70" t="s">
        <v>111</v>
      </c>
      <c r="F4" s="70" t="s">
        <v>16</v>
      </c>
      <c r="G4" s="70" t="s">
        <v>18</v>
      </c>
      <c r="H4" s="70" t="s">
        <v>112</v>
      </c>
      <c r="I4" s="75" t="s">
        <v>113</v>
      </c>
      <c r="J4" s="56" t="s">
        <v>114</v>
      </c>
      <c r="K4" s="56" t="s">
        <v>115</v>
      </c>
      <c r="L4" s="56" t="s">
        <v>116</v>
      </c>
      <c r="M4" s="56" t="s">
        <v>117</v>
      </c>
      <c r="N4" s="56" t="s">
        <v>67</v>
      </c>
      <c r="O4" s="36" t="s">
        <v>46</v>
      </c>
    </row>
    <row r="5" ht="18" customHeight="1" spans="1:15">
      <c r="A5" s="27" t="s">
        <v>48</v>
      </c>
      <c r="B5" s="34">
        <v>78</v>
      </c>
      <c r="C5" s="34">
        <v>15</v>
      </c>
      <c r="D5" s="34">
        <f t="shared" ref="D5:D14" si="0">B5+C5</f>
        <v>93</v>
      </c>
      <c r="E5" s="34"/>
      <c r="F5" s="34"/>
      <c r="G5" s="34"/>
      <c r="H5" s="71"/>
      <c r="I5" s="34">
        <v>40</v>
      </c>
      <c r="J5" s="34">
        <v>50</v>
      </c>
      <c r="K5" s="34">
        <v>107.18</v>
      </c>
      <c r="L5" s="34">
        <v>448.95</v>
      </c>
      <c r="M5" s="34"/>
      <c r="N5" s="34">
        <f>SUM(E5:M5)</f>
        <v>646.13</v>
      </c>
      <c r="O5" s="76">
        <f>D5+N5</f>
        <v>739.13</v>
      </c>
    </row>
    <row r="6" ht="18" customHeight="1" spans="1:15">
      <c r="A6" s="27" t="s">
        <v>51</v>
      </c>
      <c r="B6" s="34">
        <v>46</v>
      </c>
      <c r="C6" s="34">
        <v>15</v>
      </c>
      <c r="D6" s="34">
        <f t="shared" si="0"/>
        <v>61</v>
      </c>
      <c r="E6" s="34"/>
      <c r="F6" s="34"/>
      <c r="G6" s="34"/>
      <c r="H6" s="71"/>
      <c r="I6" s="34">
        <v>30</v>
      </c>
      <c r="J6" s="34"/>
      <c r="K6" s="34">
        <v>80.16</v>
      </c>
      <c r="L6" s="34">
        <v>351.05</v>
      </c>
      <c r="M6" s="34"/>
      <c r="N6" s="34">
        <f t="shared" ref="N6:N22" si="1">SUM(E6:M6)</f>
        <v>461.21</v>
      </c>
      <c r="O6" s="76">
        <f t="shared" ref="O6:O23" si="2">D6+N6</f>
        <v>522.21</v>
      </c>
    </row>
    <row r="7" ht="18" customHeight="1" spans="1:15">
      <c r="A7" s="27" t="s">
        <v>49</v>
      </c>
      <c r="B7" s="34">
        <v>37</v>
      </c>
      <c r="C7" s="34">
        <v>15</v>
      </c>
      <c r="D7" s="34">
        <f t="shared" si="0"/>
        <v>52</v>
      </c>
      <c r="E7" s="34"/>
      <c r="F7" s="34"/>
      <c r="G7" s="34"/>
      <c r="H7" s="71"/>
      <c r="I7" s="34">
        <v>30</v>
      </c>
      <c r="J7" s="34"/>
      <c r="K7" s="34">
        <v>62.16</v>
      </c>
      <c r="L7" s="34">
        <v>306</v>
      </c>
      <c r="M7" s="34"/>
      <c r="N7" s="34">
        <f t="shared" si="1"/>
        <v>398.16</v>
      </c>
      <c r="O7" s="76">
        <f t="shared" si="2"/>
        <v>450.16</v>
      </c>
    </row>
    <row r="8" ht="18" customHeight="1" spans="1:15">
      <c r="A8" s="27" t="s">
        <v>52</v>
      </c>
      <c r="B8" s="34">
        <v>30</v>
      </c>
      <c r="C8" s="34">
        <v>12</v>
      </c>
      <c r="D8" s="34">
        <f t="shared" si="0"/>
        <v>42</v>
      </c>
      <c r="E8" s="34"/>
      <c r="F8" s="34"/>
      <c r="G8" s="34"/>
      <c r="H8" s="71"/>
      <c r="I8" s="34">
        <v>30</v>
      </c>
      <c r="J8" s="34"/>
      <c r="K8" s="34">
        <v>40.41</v>
      </c>
      <c r="L8" s="34">
        <v>220.51</v>
      </c>
      <c r="M8" s="34"/>
      <c r="N8" s="34">
        <f t="shared" si="1"/>
        <v>290.92</v>
      </c>
      <c r="O8" s="76">
        <f t="shared" si="2"/>
        <v>332.92</v>
      </c>
    </row>
    <row r="9" ht="18" customHeight="1" spans="1:15">
      <c r="A9" s="27" t="s">
        <v>53</v>
      </c>
      <c r="B9" s="34">
        <v>16</v>
      </c>
      <c r="C9" s="34">
        <v>10</v>
      </c>
      <c r="D9" s="34">
        <f t="shared" si="0"/>
        <v>26</v>
      </c>
      <c r="E9" s="34"/>
      <c r="F9" s="34"/>
      <c r="G9" s="34"/>
      <c r="H9" s="71"/>
      <c r="I9" s="34">
        <v>20</v>
      </c>
      <c r="J9" s="34"/>
      <c r="K9" s="34">
        <v>30.68</v>
      </c>
      <c r="L9" s="34">
        <v>105.18</v>
      </c>
      <c r="M9" s="34"/>
      <c r="N9" s="34">
        <f t="shared" si="1"/>
        <v>155.86</v>
      </c>
      <c r="O9" s="76">
        <f t="shared" si="2"/>
        <v>181.86</v>
      </c>
    </row>
    <row r="10" ht="18" customHeight="1" spans="1:15">
      <c r="A10" s="27" t="s">
        <v>50</v>
      </c>
      <c r="B10" s="34">
        <v>10</v>
      </c>
      <c r="C10" s="34">
        <v>10</v>
      </c>
      <c r="D10" s="34">
        <f t="shared" si="0"/>
        <v>20</v>
      </c>
      <c r="E10" s="34"/>
      <c r="F10" s="34"/>
      <c r="G10" s="34"/>
      <c r="H10" s="71"/>
      <c r="I10" s="34">
        <v>20</v>
      </c>
      <c r="J10" s="34"/>
      <c r="K10" s="34">
        <v>31.13</v>
      </c>
      <c r="L10" s="34">
        <v>103.62</v>
      </c>
      <c r="M10" s="34"/>
      <c r="N10" s="34">
        <f t="shared" si="1"/>
        <v>154.75</v>
      </c>
      <c r="O10" s="76">
        <f t="shared" si="2"/>
        <v>174.75</v>
      </c>
    </row>
    <row r="11" ht="18" customHeight="1" spans="1:15">
      <c r="A11" s="27" t="s">
        <v>54</v>
      </c>
      <c r="B11" s="34">
        <v>16</v>
      </c>
      <c r="C11" s="34">
        <v>12</v>
      </c>
      <c r="D11" s="34">
        <f t="shared" si="0"/>
        <v>28</v>
      </c>
      <c r="E11" s="34"/>
      <c r="F11" s="34"/>
      <c r="G11" s="34"/>
      <c r="H11" s="71"/>
      <c r="I11" s="34">
        <v>30</v>
      </c>
      <c r="J11" s="34"/>
      <c r="K11" s="34">
        <v>20.96</v>
      </c>
      <c r="L11" s="34">
        <v>165.71</v>
      </c>
      <c r="M11" s="34"/>
      <c r="N11" s="34">
        <f t="shared" si="1"/>
        <v>216.67</v>
      </c>
      <c r="O11" s="76">
        <f t="shared" si="2"/>
        <v>244.67</v>
      </c>
    </row>
    <row r="12" ht="18" customHeight="1" spans="1:15">
      <c r="A12" s="27" t="s">
        <v>55</v>
      </c>
      <c r="B12" s="34">
        <v>17</v>
      </c>
      <c r="C12" s="34">
        <v>10</v>
      </c>
      <c r="D12" s="34">
        <f t="shared" si="0"/>
        <v>27</v>
      </c>
      <c r="E12" s="34"/>
      <c r="F12" s="34"/>
      <c r="G12" s="34"/>
      <c r="H12" s="71"/>
      <c r="I12" s="34">
        <v>20</v>
      </c>
      <c r="J12" s="34"/>
      <c r="K12" s="34">
        <v>26.32</v>
      </c>
      <c r="L12" s="34">
        <v>161.67</v>
      </c>
      <c r="M12" s="34"/>
      <c r="N12" s="34">
        <f t="shared" si="1"/>
        <v>207.99</v>
      </c>
      <c r="O12" s="76">
        <f t="shared" si="2"/>
        <v>234.99</v>
      </c>
    </row>
    <row r="13" ht="18" customHeight="1" spans="1:15">
      <c r="A13" s="27" t="s">
        <v>56</v>
      </c>
      <c r="B13" s="34">
        <v>37</v>
      </c>
      <c r="C13" s="34">
        <v>15</v>
      </c>
      <c r="D13" s="34">
        <f t="shared" si="0"/>
        <v>52</v>
      </c>
      <c r="E13" s="34"/>
      <c r="F13" s="34"/>
      <c r="G13" s="34"/>
      <c r="H13" s="71"/>
      <c r="I13" s="34">
        <v>30</v>
      </c>
      <c r="J13" s="34"/>
      <c r="K13" s="34">
        <v>62.35</v>
      </c>
      <c r="L13" s="34">
        <v>337.99</v>
      </c>
      <c r="M13" s="34"/>
      <c r="N13" s="34">
        <f t="shared" si="1"/>
        <v>430.34</v>
      </c>
      <c r="O13" s="76">
        <f t="shared" si="2"/>
        <v>482.34</v>
      </c>
    </row>
    <row r="14" ht="18" customHeight="1" spans="1:15">
      <c r="A14" s="27" t="s">
        <v>57</v>
      </c>
      <c r="B14" s="34">
        <v>27</v>
      </c>
      <c r="C14" s="34">
        <v>12</v>
      </c>
      <c r="D14" s="34">
        <f t="shared" si="0"/>
        <v>39</v>
      </c>
      <c r="E14" s="34"/>
      <c r="F14" s="34"/>
      <c r="G14" s="34"/>
      <c r="H14" s="71"/>
      <c r="I14" s="34">
        <v>30</v>
      </c>
      <c r="J14" s="34"/>
      <c r="K14" s="34">
        <v>38.65</v>
      </c>
      <c r="L14" s="34">
        <v>266.48</v>
      </c>
      <c r="M14" s="34"/>
      <c r="N14" s="34">
        <f t="shared" si="1"/>
        <v>335.13</v>
      </c>
      <c r="O14" s="76">
        <f t="shared" si="2"/>
        <v>374.13</v>
      </c>
    </row>
    <row r="15" ht="21" customHeight="1" spans="1:15">
      <c r="A15" s="72" t="s">
        <v>14</v>
      </c>
      <c r="B15" s="34"/>
      <c r="C15" s="34"/>
      <c r="D15" s="34"/>
      <c r="E15" s="71"/>
      <c r="F15" s="71"/>
      <c r="G15" s="71"/>
      <c r="H15" s="71"/>
      <c r="I15" s="34"/>
      <c r="J15" s="34"/>
      <c r="K15" s="34"/>
      <c r="L15" s="34">
        <v>100</v>
      </c>
      <c r="M15" s="34"/>
      <c r="N15" s="34">
        <f t="shared" si="1"/>
        <v>100</v>
      </c>
      <c r="O15" s="76">
        <f t="shared" si="2"/>
        <v>100</v>
      </c>
    </row>
    <row r="16" ht="22.5" spans="1:15">
      <c r="A16" s="72" t="s">
        <v>118</v>
      </c>
      <c r="B16" s="34"/>
      <c r="C16" s="34"/>
      <c r="D16" s="34"/>
      <c r="E16" s="71"/>
      <c r="F16" s="71"/>
      <c r="G16" s="71"/>
      <c r="H16" s="71"/>
      <c r="I16" s="34"/>
      <c r="J16" s="34"/>
      <c r="K16" s="34">
        <v>40</v>
      </c>
      <c r="L16" s="34"/>
      <c r="M16" s="34"/>
      <c r="N16" s="34">
        <f t="shared" si="1"/>
        <v>40</v>
      </c>
      <c r="O16" s="76">
        <f t="shared" si="2"/>
        <v>40</v>
      </c>
    </row>
    <row r="17" ht="22.5" spans="1:15">
      <c r="A17" s="72" t="s">
        <v>119</v>
      </c>
      <c r="B17" s="34"/>
      <c r="C17" s="34"/>
      <c r="D17" s="34"/>
      <c r="E17" s="71"/>
      <c r="F17" s="71"/>
      <c r="G17" s="71"/>
      <c r="H17" s="34">
        <v>100</v>
      </c>
      <c r="I17" s="34"/>
      <c r="J17" s="34"/>
      <c r="K17" s="34"/>
      <c r="L17" s="34"/>
      <c r="M17" s="34"/>
      <c r="N17" s="34">
        <f t="shared" si="1"/>
        <v>100</v>
      </c>
      <c r="O17" s="76">
        <f t="shared" si="2"/>
        <v>100</v>
      </c>
    </row>
    <row r="18" ht="22.5" spans="1:15">
      <c r="A18" s="72" t="s">
        <v>20</v>
      </c>
      <c r="B18" s="34"/>
      <c r="C18" s="34"/>
      <c r="D18" s="34"/>
      <c r="E18" s="71"/>
      <c r="F18" s="71"/>
      <c r="G18" s="71"/>
      <c r="H18" s="71"/>
      <c r="I18" s="34"/>
      <c r="J18" s="34"/>
      <c r="K18" s="34"/>
      <c r="L18" s="34">
        <v>10</v>
      </c>
      <c r="M18" s="34"/>
      <c r="N18" s="34">
        <f t="shared" si="1"/>
        <v>10</v>
      </c>
      <c r="O18" s="76">
        <f t="shared" si="2"/>
        <v>10</v>
      </c>
    </row>
    <row r="19" ht="33.75" spans="1:15">
      <c r="A19" s="72" t="s">
        <v>16</v>
      </c>
      <c r="B19" s="34"/>
      <c r="C19" s="34"/>
      <c r="D19" s="34"/>
      <c r="E19" s="71"/>
      <c r="F19" s="71">
        <v>105.6</v>
      </c>
      <c r="G19" s="71"/>
      <c r="H19" s="71"/>
      <c r="I19" s="34"/>
      <c r="J19" s="34"/>
      <c r="K19" s="34"/>
      <c r="L19" s="34"/>
      <c r="M19" s="34"/>
      <c r="N19" s="34">
        <f t="shared" si="1"/>
        <v>105.6</v>
      </c>
      <c r="O19" s="76">
        <f t="shared" si="2"/>
        <v>105.6</v>
      </c>
    </row>
    <row r="20" ht="21" customHeight="1" spans="1:15">
      <c r="A20" s="72" t="s">
        <v>120</v>
      </c>
      <c r="B20" s="34"/>
      <c r="C20" s="34"/>
      <c r="D20" s="34"/>
      <c r="E20" s="34"/>
      <c r="F20" s="34"/>
      <c r="G20" s="34">
        <v>450</v>
      </c>
      <c r="H20" s="71"/>
      <c r="I20" s="34"/>
      <c r="J20" s="34"/>
      <c r="K20" s="34"/>
      <c r="L20" s="34"/>
      <c r="M20" s="34"/>
      <c r="N20" s="34">
        <f t="shared" si="1"/>
        <v>450</v>
      </c>
      <c r="O20" s="76">
        <f t="shared" si="2"/>
        <v>450</v>
      </c>
    </row>
    <row r="21" ht="21" customHeight="1" spans="1:15">
      <c r="A21" s="72" t="s">
        <v>17</v>
      </c>
      <c r="B21" s="34"/>
      <c r="C21" s="34"/>
      <c r="D21" s="34"/>
      <c r="E21" s="34">
        <v>250</v>
      </c>
      <c r="F21" s="34"/>
      <c r="G21" s="34"/>
      <c r="H21" s="71"/>
      <c r="I21" s="34"/>
      <c r="J21" s="34"/>
      <c r="K21" s="34"/>
      <c r="L21" s="34"/>
      <c r="M21" s="34"/>
      <c r="N21" s="34">
        <f t="shared" si="1"/>
        <v>250</v>
      </c>
      <c r="O21" s="76">
        <f t="shared" si="2"/>
        <v>250</v>
      </c>
    </row>
    <row r="22" ht="21" customHeight="1" spans="1:15">
      <c r="A22" s="72" t="s">
        <v>117</v>
      </c>
      <c r="B22" s="34"/>
      <c r="C22" s="34"/>
      <c r="D22" s="34"/>
      <c r="E22" s="34"/>
      <c r="F22" s="34"/>
      <c r="G22" s="34"/>
      <c r="H22" s="71"/>
      <c r="I22" s="34"/>
      <c r="J22" s="34"/>
      <c r="K22" s="34"/>
      <c r="L22" s="34"/>
      <c r="M22" s="34">
        <f>400</f>
        <v>400</v>
      </c>
      <c r="N22" s="34">
        <f t="shared" si="1"/>
        <v>400</v>
      </c>
      <c r="O22" s="76">
        <f t="shared" si="2"/>
        <v>400</v>
      </c>
    </row>
    <row r="23" ht="21" customHeight="1" spans="1:15">
      <c r="A23" s="72" t="s">
        <v>46</v>
      </c>
      <c r="B23" s="34">
        <f>SUM(B5:B22)</f>
        <v>314</v>
      </c>
      <c r="C23" s="34">
        <f>SUM(C5:C22)</f>
        <v>126</v>
      </c>
      <c r="D23" s="34">
        <f>SUM(D5:D22)</f>
        <v>440</v>
      </c>
      <c r="E23" s="34">
        <f>SUM(E5:E22)</f>
        <v>250</v>
      </c>
      <c r="F23" s="34"/>
      <c r="G23" s="34">
        <f t="shared" ref="G23:N23" si="3">SUM(G5:G22)</f>
        <v>450</v>
      </c>
      <c r="H23" s="34">
        <f t="shared" si="3"/>
        <v>100</v>
      </c>
      <c r="I23" s="34">
        <f t="shared" si="3"/>
        <v>280</v>
      </c>
      <c r="J23" s="34">
        <f t="shared" si="3"/>
        <v>50</v>
      </c>
      <c r="K23" s="34">
        <f t="shared" si="3"/>
        <v>540</v>
      </c>
      <c r="L23" s="34">
        <f t="shared" si="3"/>
        <v>2577.16</v>
      </c>
      <c r="M23" s="34">
        <f t="shared" si="3"/>
        <v>400</v>
      </c>
      <c r="N23" s="34">
        <f t="shared" si="3"/>
        <v>4752.76</v>
      </c>
      <c r="O23" s="76">
        <f t="shared" si="2"/>
        <v>5192.76</v>
      </c>
    </row>
    <row r="24" ht="72" customHeight="1" spans="1:15">
      <c r="A24" s="73" t="s">
        <v>121</v>
      </c>
      <c r="B24" s="73"/>
      <c r="C24" s="73"/>
      <c r="D24" s="73"/>
      <c r="E24" s="73"/>
      <c r="F24" s="73"/>
      <c r="G24" s="73"/>
      <c r="H24" s="73"/>
      <c r="I24" s="73"/>
      <c r="J24" s="73"/>
      <c r="K24" s="73"/>
      <c r="L24" s="73"/>
      <c r="M24" s="73"/>
      <c r="N24" s="73"/>
      <c r="O24" s="73"/>
    </row>
  </sheetData>
  <mergeCells count="6">
    <mergeCell ref="A1:O1"/>
    <mergeCell ref="A2:O2"/>
    <mergeCell ref="B3:D3"/>
    <mergeCell ref="E3:N3"/>
    <mergeCell ref="A24:O24"/>
    <mergeCell ref="A3:A4"/>
  </mergeCells>
  <printOptions horizontalCentered="1"/>
  <pageMargins left="0.590277777777778" right="0.590277777777778" top="0.472222222222222" bottom="0.196527777777778" header="0.511805555555556" footer="0.118055555555556"/>
  <pageSetup paperSize="9" scale="84" firstPageNumber="147" orientation="landscape" useFirstPageNumber="1"/>
  <headerFooter differentOddEven="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FFCC"/>
  </sheetPr>
  <dimension ref="A1:IV18"/>
  <sheetViews>
    <sheetView workbookViewId="0">
      <selection activeCell="A1" sqref="A1:D1"/>
    </sheetView>
  </sheetViews>
  <sheetFormatPr defaultColWidth="9" defaultRowHeight="14.25"/>
  <cols>
    <col min="1" max="1" width="4.875" style="49" customWidth="1"/>
    <col min="2" max="2" width="14" style="50" customWidth="1"/>
    <col min="3" max="3" width="62.5" style="50" customWidth="1"/>
    <col min="4" max="4" width="44.875" style="50" customWidth="1"/>
    <col min="5" max="16384" width="9" style="50"/>
  </cols>
  <sheetData>
    <row r="1" s="22" customFormat="1" ht="36.75" customHeight="1" spans="1:256">
      <c r="A1" s="51" t="s">
        <v>122</v>
      </c>
      <c r="B1" s="51"/>
      <c r="C1" s="51"/>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row>
    <row r="2" s="22" customFormat="1" ht="27" customHeight="1" spans="1:256">
      <c r="A2" s="52" t="s">
        <v>123</v>
      </c>
      <c r="B2" s="53"/>
      <c r="C2" s="54" t="s">
        <v>124</v>
      </c>
      <c r="D2" s="54" t="s">
        <v>125</v>
      </c>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row>
    <row r="3" s="22" customFormat="1" ht="29.25" customHeight="1" spans="1:256">
      <c r="A3" s="55" t="s">
        <v>126</v>
      </c>
      <c r="B3" s="56" t="s">
        <v>127</v>
      </c>
      <c r="C3" s="57" t="s">
        <v>128</v>
      </c>
      <c r="D3" s="58" t="s">
        <v>129</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row>
    <row r="4" s="22" customFormat="1" ht="54" customHeight="1" spans="1:256">
      <c r="A4" s="59"/>
      <c r="B4" s="60"/>
      <c r="C4" s="61"/>
      <c r="D4" s="61"/>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row>
    <row r="5" s="22" customFormat="1" ht="18" customHeight="1" spans="1:256">
      <c r="A5" s="59"/>
      <c r="B5" s="27" t="s">
        <v>130</v>
      </c>
      <c r="C5" s="62" t="s">
        <v>131</v>
      </c>
      <c r="D5" s="62" t="s">
        <v>132</v>
      </c>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row>
    <row r="6" s="22" customFormat="1" ht="18" customHeight="1" spans="1:256">
      <c r="A6" s="59"/>
      <c r="B6" s="27" t="s">
        <v>133</v>
      </c>
      <c r="C6" s="62" t="s">
        <v>134</v>
      </c>
      <c r="D6" s="62" t="s">
        <v>135</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row>
    <row r="7" s="22" customFormat="1" ht="24" customHeight="1" spans="1:256">
      <c r="A7" s="59"/>
      <c r="B7" s="27" t="s">
        <v>136</v>
      </c>
      <c r="C7" s="62" t="s">
        <v>137</v>
      </c>
      <c r="D7" s="62" t="s">
        <v>138</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row>
    <row r="8" s="22" customFormat="1" ht="25.5" customHeight="1" spans="1:256">
      <c r="A8" s="59"/>
      <c r="B8" s="27" t="s">
        <v>139</v>
      </c>
      <c r="C8" s="62" t="s">
        <v>140</v>
      </c>
      <c r="D8" s="62" t="s">
        <v>141</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row>
    <row r="9" s="22" customFormat="1" ht="51" customHeight="1" spans="1:256">
      <c r="A9" s="59"/>
      <c r="B9" s="27" t="s">
        <v>142</v>
      </c>
      <c r="C9" s="62" t="s">
        <v>143</v>
      </c>
      <c r="D9" s="63" t="s">
        <v>144</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row>
    <row r="10" s="22" customFormat="1" ht="18" customHeight="1" spans="1:256">
      <c r="A10" s="64"/>
      <c r="B10" s="27" t="s">
        <v>145</v>
      </c>
      <c r="C10" s="62" t="s">
        <v>146</v>
      </c>
      <c r="D10" s="62"/>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row>
    <row r="11" s="22" customFormat="1" ht="48.75" customHeight="1" spans="1:256">
      <c r="A11" s="55" t="s">
        <v>147</v>
      </c>
      <c r="B11" s="27" t="s">
        <v>148</v>
      </c>
      <c r="C11" s="62" t="s">
        <v>149</v>
      </c>
      <c r="D11" s="62" t="s">
        <v>150</v>
      </c>
      <c r="E11" s="50"/>
      <c r="F11" s="50"/>
      <c r="G11" s="50"/>
      <c r="H11" s="50">
        <v>75.2</v>
      </c>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row>
    <row r="12" s="22" customFormat="1" ht="15" customHeight="1" spans="1:256">
      <c r="A12" s="59"/>
      <c r="B12" s="27" t="s">
        <v>130</v>
      </c>
      <c r="C12" s="62" t="s">
        <v>151</v>
      </c>
      <c r="D12" s="62"/>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row>
    <row r="13" s="22" customFormat="1" ht="15" customHeight="1" spans="1:256">
      <c r="A13" s="59"/>
      <c r="B13" s="27" t="s">
        <v>152</v>
      </c>
      <c r="C13" s="62" t="s">
        <v>153</v>
      </c>
      <c r="D13" s="62"/>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row>
    <row r="14" s="22" customFormat="1" ht="29.25" customHeight="1" spans="1:256">
      <c r="A14" s="59"/>
      <c r="B14" s="27" t="s">
        <v>139</v>
      </c>
      <c r="C14" s="62" t="s">
        <v>154</v>
      </c>
      <c r="D14" s="62" t="s">
        <v>141</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row>
    <row r="15" s="22" customFormat="1" ht="24" customHeight="1" spans="1:256">
      <c r="A15" s="59"/>
      <c r="B15" s="27" t="s">
        <v>142</v>
      </c>
      <c r="C15" s="62" t="s">
        <v>155</v>
      </c>
      <c r="D15" s="63"/>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row>
    <row r="16" s="22" customFormat="1" ht="16.5" customHeight="1" spans="1:256">
      <c r="A16" s="59"/>
      <c r="B16" s="27" t="s">
        <v>156</v>
      </c>
      <c r="C16" s="62" t="s">
        <v>157</v>
      </c>
      <c r="D16" s="31" t="s">
        <v>158</v>
      </c>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row>
    <row r="17" s="22" customFormat="1" ht="24" customHeight="1" spans="1:256">
      <c r="A17" s="59"/>
      <c r="B17" s="27" t="s">
        <v>159</v>
      </c>
      <c r="C17" s="62" t="s">
        <v>160</v>
      </c>
      <c r="D17" s="31" t="s">
        <v>161</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row>
    <row r="18" s="22" customFormat="1" ht="25.5" customHeight="1" spans="1:256">
      <c r="A18" s="64"/>
      <c r="B18" s="27" t="s">
        <v>162</v>
      </c>
      <c r="C18" s="62" t="s">
        <v>163</v>
      </c>
      <c r="D18" s="31" t="s">
        <v>164</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row>
  </sheetData>
  <mergeCells count="7">
    <mergeCell ref="A1:D1"/>
    <mergeCell ref="A2:B2"/>
    <mergeCell ref="A3:A10"/>
    <mergeCell ref="A11:A18"/>
    <mergeCell ref="B3:B4"/>
    <mergeCell ref="C3:C4"/>
    <mergeCell ref="D3:D4"/>
  </mergeCells>
  <printOptions horizontalCentered="1"/>
  <pageMargins left="0.590277777777778" right="0.590277777777778" top="0.865972222222222" bottom="0.393055555555556" header="0.511805555555556" footer="0.118055555555556"/>
  <pageSetup paperSize="9" scale="98" firstPageNumber="148" orientation="landscape" useFirstPageNumber="1"/>
  <headerFooter differentOddEven="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FFCC"/>
  </sheetPr>
  <dimension ref="A1:W19"/>
  <sheetViews>
    <sheetView workbookViewId="0">
      <selection activeCell="L5" sqref="L5"/>
    </sheetView>
  </sheetViews>
  <sheetFormatPr defaultColWidth="9" defaultRowHeight="14.25"/>
  <cols>
    <col min="1" max="1" width="8.875" style="21" customWidth="1"/>
    <col min="2" max="2" width="3.5" style="22" customWidth="1"/>
    <col min="3" max="3" width="2.75" style="22" customWidth="1"/>
    <col min="4" max="4" width="2.625" style="22" customWidth="1"/>
    <col min="5" max="5" width="2.25" style="22" customWidth="1"/>
    <col min="6" max="6" width="3.5" style="22" customWidth="1"/>
    <col min="7" max="8" width="3.75" style="22" customWidth="1"/>
    <col min="9" max="9" width="3.875" style="22" customWidth="1"/>
    <col min="10" max="10" width="4.25" style="22" customWidth="1"/>
    <col min="11" max="11" width="4" style="22" customWidth="1"/>
    <col min="12" max="12" width="4.875" style="22" customWidth="1"/>
    <col min="13" max="13" width="4.125" style="22" customWidth="1"/>
    <col min="14" max="14" width="8.5" style="22" customWidth="1"/>
    <col min="15" max="15" width="7" style="22" customWidth="1"/>
    <col min="16" max="16" width="6.75" style="22" customWidth="1"/>
    <col min="17" max="17" width="6.125" style="22" customWidth="1"/>
    <col min="18" max="18" width="6.625" style="22" customWidth="1"/>
    <col min="19" max="19" width="7.625" style="22" customWidth="1"/>
    <col min="20" max="20" width="7" style="22" customWidth="1"/>
    <col min="21" max="21" width="6.875" style="22" customWidth="1"/>
    <col min="22" max="22" width="6.75" style="22" customWidth="1"/>
    <col min="23" max="23" width="7.75" style="22" customWidth="1"/>
    <col min="24" max="16384" width="9" style="22"/>
  </cols>
  <sheetData>
    <row r="1" ht="36.75" customHeight="1" spans="1:23">
      <c r="A1" s="23" t="s">
        <v>165</v>
      </c>
      <c r="B1" s="23"/>
      <c r="C1" s="23"/>
      <c r="D1" s="23"/>
      <c r="E1" s="23"/>
      <c r="F1" s="23"/>
      <c r="G1" s="23"/>
      <c r="H1" s="23"/>
      <c r="I1" s="23"/>
      <c r="J1" s="23"/>
      <c r="K1" s="23"/>
      <c r="L1" s="23"/>
      <c r="M1" s="23"/>
      <c r="N1" s="23"/>
      <c r="O1" s="23"/>
      <c r="P1" s="23"/>
      <c r="Q1" s="23"/>
      <c r="R1" s="23"/>
      <c r="S1" s="23"/>
      <c r="T1" s="23"/>
      <c r="U1" s="23"/>
      <c r="V1" s="23"/>
      <c r="W1" s="23"/>
    </row>
    <row r="2" spans="21:23">
      <c r="U2" s="43" t="s">
        <v>166</v>
      </c>
      <c r="V2" s="43"/>
      <c r="W2" s="43"/>
    </row>
    <row r="3" ht="18.95" customHeight="1" spans="1:23">
      <c r="A3" s="24" t="s">
        <v>167</v>
      </c>
      <c r="B3" s="25" t="s">
        <v>168</v>
      </c>
      <c r="C3" s="26"/>
      <c r="D3" s="26"/>
      <c r="E3" s="26"/>
      <c r="F3" s="26"/>
      <c r="G3" s="26"/>
      <c r="H3" s="26"/>
      <c r="I3" s="26"/>
      <c r="J3" s="26"/>
      <c r="K3" s="26"/>
      <c r="L3" s="26"/>
      <c r="M3" s="41"/>
      <c r="N3" s="24" t="s">
        <v>169</v>
      </c>
      <c r="O3" s="24"/>
      <c r="P3" s="24"/>
      <c r="Q3" s="24"/>
      <c r="R3" s="24"/>
      <c r="S3" s="24"/>
      <c r="T3" s="44"/>
      <c r="U3" s="24"/>
      <c r="V3" s="24"/>
      <c r="W3" s="24"/>
    </row>
    <row r="4" s="20" customFormat="1" ht="23.25" customHeight="1" spans="1:23">
      <c r="A4" s="27"/>
      <c r="B4" s="28" t="s">
        <v>170</v>
      </c>
      <c r="C4" s="29"/>
      <c r="D4" s="29"/>
      <c r="E4" s="30"/>
      <c r="F4" s="27" t="s">
        <v>171</v>
      </c>
      <c r="G4" s="27"/>
      <c r="H4" s="27"/>
      <c r="I4" s="27" t="s">
        <v>172</v>
      </c>
      <c r="J4" s="27"/>
      <c r="K4" s="27"/>
      <c r="L4" s="27"/>
      <c r="M4" s="27" t="s">
        <v>173</v>
      </c>
      <c r="N4" s="28" t="s">
        <v>174</v>
      </c>
      <c r="O4" s="29"/>
      <c r="P4" s="29"/>
      <c r="Q4" s="29"/>
      <c r="R4" s="29"/>
      <c r="S4" s="45" t="s">
        <v>67</v>
      </c>
      <c r="T4" s="27" t="s">
        <v>175</v>
      </c>
      <c r="U4" s="46"/>
      <c r="V4" s="27" t="s">
        <v>159</v>
      </c>
      <c r="W4" s="27" t="s">
        <v>46</v>
      </c>
    </row>
    <row r="5" s="20" customFormat="1" ht="38.1" customHeight="1" spans="1:23">
      <c r="A5" s="27"/>
      <c r="B5" s="31" t="s">
        <v>46</v>
      </c>
      <c r="C5" s="31" t="s">
        <v>176</v>
      </c>
      <c r="D5" s="31" t="s">
        <v>177</v>
      </c>
      <c r="E5" s="31" t="s">
        <v>178</v>
      </c>
      <c r="F5" s="31" t="s">
        <v>179</v>
      </c>
      <c r="G5" s="31" t="s">
        <v>180</v>
      </c>
      <c r="H5" s="31" t="s">
        <v>67</v>
      </c>
      <c r="I5" s="31" t="s">
        <v>181</v>
      </c>
      <c r="J5" s="31" t="s">
        <v>182</v>
      </c>
      <c r="K5" s="31" t="s">
        <v>183</v>
      </c>
      <c r="L5" s="31" t="s">
        <v>184</v>
      </c>
      <c r="M5" s="27"/>
      <c r="N5" s="42" t="s">
        <v>185</v>
      </c>
      <c r="O5" s="31" t="s">
        <v>181</v>
      </c>
      <c r="P5" s="31" t="s">
        <v>182</v>
      </c>
      <c r="Q5" s="31" t="s">
        <v>183</v>
      </c>
      <c r="R5" s="31" t="s">
        <v>186</v>
      </c>
      <c r="S5" s="47"/>
      <c r="T5" s="27"/>
      <c r="U5" s="46" t="s">
        <v>187</v>
      </c>
      <c r="V5" s="27"/>
      <c r="W5" s="27"/>
    </row>
    <row r="6" ht="21.95" customHeight="1" spans="1:23">
      <c r="A6" s="32" t="s">
        <v>188</v>
      </c>
      <c r="B6" s="33">
        <f t="shared" ref="B6:B16" si="0">C6+D6+E6</f>
        <v>149</v>
      </c>
      <c r="C6" s="33">
        <f t="shared" ref="C6:M6" si="1">SUM(C7:C16)</f>
        <v>94</v>
      </c>
      <c r="D6" s="33">
        <f t="shared" si="1"/>
        <v>47</v>
      </c>
      <c r="E6" s="33">
        <f t="shared" si="1"/>
        <v>8</v>
      </c>
      <c r="F6" s="33">
        <f t="shared" si="1"/>
        <v>298</v>
      </c>
      <c r="G6" s="33">
        <f t="shared" si="1"/>
        <v>515</v>
      </c>
      <c r="H6" s="33">
        <f t="shared" si="1"/>
        <v>813</v>
      </c>
      <c r="I6" s="33">
        <f t="shared" si="1"/>
        <v>149</v>
      </c>
      <c r="J6" s="33">
        <f t="shared" si="1"/>
        <v>1496</v>
      </c>
      <c r="K6" s="33">
        <f t="shared" si="1"/>
        <v>290</v>
      </c>
      <c r="L6" s="33">
        <f t="shared" si="1"/>
        <v>2354</v>
      </c>
      <c r="M6" s="33">
        <f t="shared" si="1"/>
        <v>659</v>
      </c>
      <c r="N6" s="33">
        <f t="shared" ref="N6:W6" si="2">SUM(N7:N18)</f>
        <v>18142160</v>
      </c>
      <c r="O6" s="33">
        <f t="shared" si="2"/>
        <v>1396000</v>
      </c>
      <c r="P6" s="33">
        <f t="shared" si="2"/>
        <v>1496000</v>
      </c>
      <c r="Q6" s="33">
        <f t="shared" si="2"/>
        <v>145000</v>
      </c>
      <c r="R6" s="33">
        <f t="shared" si="2"/>
        <v>847440</v>
      </c>
      <c r="S6" s="33">
        <f t="shared" si="2"/>
        <v>22026600</v>
      </c>
      <c r="T6" s="48">
        <f t="shared" si="2"/>
        <v>3345000</v>
      </c>
      <c r="U6" s="33">
        <f t="shared" si="2"/>
        <v>1067000</v>
      </c>
      <c r="V6" s="33">
        <f t="shared" si="2"/>
        <v>400000</v>
      </c>
      <c r="W6" s="33">
        <f t="shared" si="2"/>
        <v>25771600</v>
      </c>
    </row>
    <row r="7" ht="21.95" customHeight="1" spans="1:23">
      <c r="A7" s="34" t="s">
        <v>48</v>
      </c>
      <c r="B7" s="35">
        <f t="shared" si="0"/>
        <v>25</v>
      </c>
      <c r="C7" s="35">
        <v>14</v>
      </c>
      <c r="D7" s="35">
        <v>7</v>
      </c>
      <c r="E7" s="35">
        <v>4</v>
      </c>
      <c r="F7" s="35">
        <v>50</v>
      </c>
      <c r="G7" s="35">
        <v>93</v>
      </c>
      <c r="H7" s="35">
        <v>143</v>
      </c>
      <c r="I7" s="35">
        <v>25</v>
      </c>
      <c r="J7" s="35">
        <v>202</v>
      </c>
      <c r="K7" s="35">
        <v>46</v>
      </c>
      <c r="L7" s="35">
        <v>603</v>
      </c>
      <c r="M7" s="35">
        <v>89</v>
      </c>
      <c r="N7" s="35">
        <v>3001440</v>
      </c>
      <c r="O7" s="35">
        <v>236000</v>
      </c>
      <c r="P7" s="35">
        <v>202000</v>
      </c>
      <c r="Q7" s="35">
        <v>23000</v>
      </c>
      <c r="R7" s="35">
        <v>217080</v>
      </c>
      <c r="S7" s="35">
        <f t="shared" ref="S7:S17" si="3">N7+O7+P7+Q7+R7</f>
        <v>3679520</v>
      </c>
      <c r="T7" s="35">
        <v>610000</v>
      </c>
      <c r="U7" s="35">
        <v>187000</v>
      </c>
      <c r="V7" s="35">
        <v>200000</v>
      </c>
      <c r="W7" s="35">
        <f>S7+T7+V7</f>
        <v>4489520</v>
      </c>
    </row>
    <row r="8" ht="21.95" customHeight="1" spans="1:23">
      <c r="A8" s="34" t="s">
        <v>51</v>
      </c>
      <c r="B8" s="35">
        <f t="shared" si="0"/>
        <v>21</v>
      </c>
      <c r="C8" s="35">
        <v>15</v>
      </c>
      <c r="D8" s="35">
        <v>5</v>
      </c>
      <c r="E8" s="35">
        <v>1</v>
      </c>
      <c r="F8" s="35">
        <v>42</v>
      </c>
      <c r="G8" s="35">
        <v>74</v>
      </c>
      <c r="H8" s="35">
        <v>116</v>
      </c>
      <c r="I8" s="35">
        <v>21</v>
      </c>
      <c r="J8" s="35">
        <v>191</v>
      </c>
      <c r="K8" s="35">
        <v>41</v>
      </c>
      <c r="L8" s="35">
        <v>328</v>
      </c>
      <c r="M8" s="35">
        <v>86</v>
      </c>
      <c r="N8" s="35">
        <v>2425920</v>
      </c>
      <c r="O8" s="35">
        <v>200000</v>
      </c>
      <c r="P8" s="35">
        <v>191000</v>
      </c>
      <c r="Q8" s="35">
        <v>20500</v>
      </c>
      <c r="R8" s="35">
        <v>118080</v>
      </c>
      <c r="S8" s="35">
        <f t="shared" si="3"/>
        <v>2955500</v>
      </c>
      <c r="T8" s="35">
        <v>505000</v>
      </c>
      <c r="U8" s="35">
        <v>155000</v>
      </c>
      <c r="V8" s="35">
        <v>50000</v>
      </c>
      <c r="W8" s="35">
        <f t="shared" ref="W8:W18" si="4">S8+T8+V8</f>
        <v>3510500</v>
      </c>
    </row>
    <row r="9" ht="21.95" customHeight="1" spans="1:23">
      <c r="A9" s="34" t="s">
        <v>49</v>
      </c>
      <c r="B9" s="35">
        <f t="shared" si="0"/>
        <v>19</v>
      </c>
      <c r="C9" s="35">
        <v>14</v>
      </c>
      <c r="D9" s="35">
        <v>5</v>
      </c>
      <c r="E9" s="35"/>
      <c r="F9" s="35">
        <v>38</v>
      </c>
      <c r="G9" s="35">
        <v>65</v>
      </c>
      <c r="H9" s="35">
        <v>103</v>
      </c>
      <c r="I9" s="35">
        <v>19</v>
      </c>
      <c r="J9" s="35">
        <v>179</v>
      </c>
      <c r="K9" s="35">
        <v>38</v>
      </c>
      <c r="L9" s="35">
        <v>260</v>
      </c>
      <c r="M9" s="35">
        <v>84</v>
      </c>
      <c r="N9" s="35">
        <v>2138400</v>
      </c>
      <c r="O9" s="35">
        <v>180000</v>
      </c>
      <c r="P9" s="35">
        <v>179000</v>
      </c>
      <c r="Q9" s="35">
        <v>19000</v>
      </c>
      <c r="R9" s="35">
        <v>93600</v>
      </c>
      <c r="S9" s="35">
        <f t="shared" si="3"/>
        <v>2610000</v>
      </c>
      <c r="T9" s="35">
        <v>450000</v>
      </c>
      <c r="U9" s="35">
        <v>137000</v>
      </c>
      <c r="V9" s="35">
        <v>0</v>
      </c>
      <c r="W9" s="35">
        <f t="shared" si="4"/>
        <v>3060000</v>
      </c>
    </row>
    <row r="10" ht="21.95" customHeight="1" spans="1:23">
      <c r="A10" s="34" t="s">
        <v>52</v>
      </c>
      <c r="B10" s="35">
        <f t="shared" si="0"/>
        <v>13</v>
      </c>
      <c r="C10" s="35">
        <v>8</v>
      </c>
      <c r="D10" s="35">
        <v>4</v>
      </c>
      <c r="E10" s="35">
        <v>1</v>
      </c>
      <c r="F10" s="35">
        <v>26</v>
      </c>
      <c r="G10" s="35">
        <v>44</v>
      </c>
      <c r="H10" s="35">
        <v>70</v>
      </c>
      <c r="I10" s="35">
        <v>13</v>
      </c>
      <c r="J10" s="35">
        <v>139</v>
      </c>
      <c r="K10" s="35">
        <v>25</v>
      </c>
      <c r="L10" s="35">
        <v>215</v>
      </c>
      <c r="M10" s="35">
        <v>76</v>
      </c>
      <c r="N10" s="35">
        <v>1494240</v>
      </c>
      <c r="O10" s="35">
        <v>122000</v>
      </c>
      <c r="P10" s="35">
        <v>139000</v>
      </c>
      <c r="Q10" s="35">
        <v>12500</v>
      </c>
      <c r="R10" s="35">
        <v>77400</v>
      </c>
      <c r="S10" s="35">
        <f t="shared" si="3"/>
        <v>1845140</v>
      </c>
      <c r="T10" s="35">
        <v>310000</v>
      </c>
      <c r="U10" s="35">
        <v>94000</v>
      </c>
      <c r="V10" s="35">
        <v>50000</v>
      </c>
      <c r="W10" s="35">
        <f t="shared" si="4"/>
        <v>2205140</v>
      </c>
    </row>
    <row r="11" ht="21.95" customHeight="1" spans="1:23">
      <c r="A11" s="34" t="s">
        <v>53</v>
      </c>
      <c r="B11" s="35">
        <f t="shared" si="0"/>
        <v>6</v>
      </c>
      <c r="C11" s="35">
        <v>5</v>
      </c>
      <c r="D11" s="35">
        <v>1</v>
      </c>
      <c r="E11" s="35"/>
      <c r="F11" s="35">
        <v>12</v>
      </c>
      <c r="G11" s="35">
        <v>23</v>
      </c>
      <c r="H11" s="35">
        <v>35</v>
      </c>
      <c r="I11" s="35">
        <v>6</v>
      </c>
      <c r="J11" s="35">
        <v>74</v>
      </c>
      <c r="K11" s="35">
        <v>12</v>
      </c>
      <c r="L11" s="35">
        <v>107</v>
      </c>
      <c r="M11" s="35">
        <v>28</v>
      </c>
      <c r="N11" s="35">
        <v>730320</v>
      </c>
      <c r="O11" s="35">
        <v>58000</v>
      </c>
      <c r="P11" s="35">
        <v>74000</v>
      </c>
      <c r="Q11" s="35">
        <v>6000</v>
      </c>
      <c r="R11" s="35">
        <v>38520</v>
      </c>
      <c r="S11" s="35">
        <f t="shared" si="3"/>
        <v>906840</v>
      </c>
      <c r="T11" s="35">
        <v>145000</v>
      </c>
      <c r="U11" s="35">
        <v>45000</v>
      </c>
      <c r="V11" s="35">
        <v>0</v>
      </c>
      <c r="W11" s="35">
        <f t="shared" si="4"/>
        <v>1051840</v>
      </c>
    </row>
    <row r="12" ht="21.95" customHeight="1" spans="1:23">
      <c r="A12" s="34" t="s">
        <v>50</v>
      </c>
      <c r="B12" s="35">
        <f t="shared" si="0"/>
        <v>7</v>
      </c>
      <c r="C12" s="35">
        <v>4</v>
      </c>
      <c r="D12" s="35">
        <v>3</v>
      </c>
      <c r="E12" s="35"/>
      <c r="F12" s="35">
        <v>14</v>
      </c>
      <c r="G12" s="35">
        <v>21</v>
      </c>
      <c r="H12" s="35">
        <v>35</v>
      </c>
      <c r="I12" s="35">
        <v>7</v>
      </c>
      <c r="J12" s="35">
        <v>65</v>
      </c>
      <c r="K12" s="35">
        <v>14</v>
      </c>
      <c r="L12" s="35">
        <v>75</v>
      </c>
      <c r="M12" s="35">
        <v>25</v>
      </c>
      <c r="N12" s="35">
        <v>728160</v>
      </c>
      <c r="O12" s="35">
        <v>64000</v>
      </c>
      <c r="P12" s="35">
        <v>65000</v>
      </c>
      <c r="Q12" s="35">
        <v>7000</v>
      </c>
      <c r="R12" s="35">
        <v>27000</v>
      </c>
      <c r="S12" s="35">
        <f t="shared" si="3"/>
        <v>891160</v>
      </c>
      <c r="T12" s="35">
        <v>145000</v>
      </c>
      <c r="U12" s="35">
        <v>47000</v>
      </c>
      <c r="V12" s="35">
        <v>0</v>
      </c>
      <c r="W12" s="35">
        <f t="shared" si="4"/>
        <v>1036160</v>
      </c>
    </row>
    <row r="13" ht="21.95" customHeight="1" spans="1:23">
      <c r="A13" s="34" t="s">
        <v>54</v>
      </c>
      <c r="B13" s="35">
        <f t="shared" si="0"/>
        <v>10</v>
      </c>
      <c r="C13" s="35">
        <v>7</v>
      </c>
      <c r="D13" s="35">
        <v>3</v>
      </c>
      <c r="E13" s="35"/>
      <c r="F13" s="35">
        <v>20</v>
      </c>
      <c r="G13" s="35">
        <v>36</v>
      </c>
      <c r="H13" s="35">
        <v>56</v>
      </c>
      <c r="I13" s="35">
        <v>10</v>
      </c>
      <c r="J13" s="35">
        <v>135</v>
      </c>
      <c r="K13" s="35">
        <v>20</v>
      </c>
      <c r="L13" s="35">
        <v>151</v>
      </c>
      <c r="M13" s="35">
        <v>56</v>
      </c>
      <c r="N13" s="35">
        <v>1163760</v>
      </c>
      <c r="O13" s="35">
        <v>94000</v>
      </c>
      <c r="P13" s="35">
        <v>135000</v>
      </c>
      <c r="Q13" s="35">
        <v>10000</v>
      </c>
      <c r="R13" s="35">
        <v>54360</v>
      </c>
      <c r="S13" s="35">
        <f t="shared" si="3"/>
        <v>1457120</v>
      </c>
      <c r="T13" s="35">
        <v>200000</v>
      </c>
      <c r="U13" s="35">
        <v>71000</v>
      </c>
      <c r="V13" s="35">
        <v>0</v>
      </c>
      <c r="W13" s="35">
        <f t="shared" si="4"/>
        <v>1657120</v>
      </c>
    </row>
    <row r="14" ht="21.95" customHeight="1" spans="1:23">
      <c r="A14" s="34" t="s">
        <v>55</v>
      </c>
      <c r="B14" s="35">
        <f t="shared" si="0"/>
        <v>11</v>
      </c>
      <c r="C14" s="35">
        <v>4</v>
      </c>
      <c r="D14" s="35">
        <v>7</v>
      </c>
      <c r="E14" s="35"/>
      <c r="F14" s="35">
        <v>22</v>
      </c>
      <c r="G14" s="35">
        <v>35</v>
      </c>
      <c r="H14" s="35">
        <v>57</v>
      </c>
      <c r="I14" s="35">
        <v>11</v>
      </c>
      <c r="J14" s="35">
        <v>85</v>
      </c>
      <c r="K14" s="35">
        <v>22</v>
      </c>
      <c r="L14" s="35">
        <v>123</v>
      </c>
      <c r="M14" s="35">
        <v>53</v>
      </c>
      <c r="N14" s="35">
        <v>1160400</v>
      </c>
      <c r="O14" s="35">
        <v>96000</v>
      </c>
      <c r="P14" s="35">
        <v>85000</v>
      </c>
      <c r="Q14" s="35">
        <v>11000</v>
      </c>
      <c r="R14" s="35">
        <v>44280</v>
      </c>
      <c r="S14" s="35">
        <f t="shared" si="3"/>
        <v>1396680</v>
      </c>
      <c r="T14" s="35">
        <v>220000</v>
      </c>
      <c r="U14" s="35">
        <v>67000</v>
      </c>
      <c r="V14" s="35">
        <v>0</v>
      </c>
      <c r="W14" s="35">
        <f t="shared" si="4"/>
        <v>1616680</v>
      </c>
    </row>
    <row r="15" ht="21.95" customHeight="1" spans="1:23">
      <c r="A15" s="34" t="s">
        <v>56</v>
      </c>
      <c r="B15" s="35">
        <f t="shared" si="0"/>
        <v>21</v>
      </c>
      <c r="C15" s="35">
        <v>13</v>
      </c>
      <c r="D15" s="35">
        <v>7</v>
      </c>
      <c r="E15" s="35">
        <v>1</v>
      </c>
      <c r="F15" s="35">
        <v>42</v>
      </c>
      <c r="G15" s="35">
        <v>70</v>
      </c>
      <c r="H15" s="35">
        <v>112</v>
      </c>
      <c r="I15" s="35">
        <v>21</v>
      </c>
      <c r="J15" s="35">
        <v>214</v>
      </c>
      <c r="K15" s="35">
        <v>41</v>
      </c>
      <c r="L15" s="35">
        <v>272</v>
      </c>
      <c r="M15" s="35">
        <v>96</v>
      </c>
      <c r="N15" s="35">
        <v>2371440</v>
      </c>
      <c r="O15" s="35">
        <v>196000</v>
      </c>
      <c r="P15" s="35">
        <v>214000</v>
      </c>
      <c r="Q15" s="35">
        <v>20500</v>
      </c>
      <c r="R15" s="35">
        <v>97920</v>
      </c>
      <c r="S15" s="35">
        <f t="shared" si="3"/>
        <v>2899860</v>
      </c>
      <c r="T15" s="35">
        <v>430000</v>
      </c>
      <c r="U15" s="35">
        <v>149000</v>
      </c>
      <c r="V15" s="35">
        <v>50000</v>
      </c>
      <c r="W15" s="35">
        <f t="shared" si="4"/>
        <v>3379860</v>
      </c>
    </row>
    <row r="16" ht="21.95" customHeight="1" spans="1:23">
      <c r="A16" s="36" t="s">
        <v>57</v>
      </c>
      <c r="B16" s="37">
        <f t="shared" si="0"/>
        <v>16</v>
      </c>
      <c r="C16" s="37">
        <v>10</v>
      </c>
      <c r="D16" s="37">
        <v>5</v>
      </c>
      <c r="E16" s="37">
        <v>1</v>
      </c>
      <c r="F16" s="37">
        <v>32</v>
      </c>
      <c r="G16" s="37">
        <v>54</v>
      </c>
      <c r="H16" s="37">
        <v>86</v>
      </c>
      <c r="I16" s="37">
        <v>16</v>
      </c>
      <c r="J16" s="37">
        <v>212</v>
      </c>
      <c r="K16" s="37">
        <v>31</v>
      </c>
      <c r="L16" s="37">
        <v>220</v>
      </c>
      <c r="M16" s="37">
        <v>66</v>
      </c>
      <c r="N16" s="37">
        <v>1828080</v>
      </c>
      <c r="O16" s="37">
        <v>150000</v>
      </c>
      <c r="P16" s="37">
        <v>212000</v>
      </c>
      <c r="Q16" s="37">
        <v>15500</v>
      </c>
      <c r="R16" s="37">
        <v>79200</v>
      </c>
      <c r="S16" s="35">
        <f t="shared" si="3"/>
        <v>2284780</v>
      </c>
      <c r="T16" s="37">
        <v>330000</v>
      </c>
      <c r="U16" s="37">
        <v>115000</v>
      </c>
      <c r="V16" s="37">
        <v>50000</v>
      </c>
      <c r="W16" s="35">
        <f t="shared" si="4"/>
        <v>2664780</v>
      </c>
    </row>
    <row r="17" ht="24.95" customHeight="1" spans="1:23">
      <c r="A17" s="38" t="s">
        <v>20</v>
      </c>
      <c r="B17" s="37"/>
      <c r="C17" s="37"/>
      <c r="D17" s="37"/>
      <c r="E17" s="37"/>
      <c r="F17" s="37"/>
      <c r="G17" s="37"/>
      <c r="H17" s="37"/>
      <c r="I17" s="37"/>
      <c r="J17" s="37"/>
      <c r="K17" s="37"/>
      <c r="L17" s="37"/>
      <c r="M17" s="37"/>
      <c r="N17" s="37">
        <v>100000</v>
      </c>
      <c r="O17" s="37"/>
      <c r="P17" s="37"/>
      <c r="Q17" s="37"/>
      <c r="R17" s="37"/>
      <c r="S17" s="35">
        <f t="shared" si="3"/>
        <v>100000</v>
      </c>
      <c r="T17" s="37"/>
      <c r="U17" s="37"/>
      <c r="V17" s="37"/>
      <c r="W17" s="37">
        <f t="shared" si="4"/>
        <v>100000</v>
      </c>
    </row>
    <row r="18" ht="25.5" customHeight="1" spans="1:23">
      <c r="A18" s="39" t="s">
        <v>14</v>
      </c>
      <c r="B18" s="35"/>
      <c r="C18" s="35"/>
      <c r="D18" s="35"/>
      <c r="E18" s="35"/>
      <c r="F18" s="35"/>
      <c r="G18" s="35"/>
      <c r="H18" s="35"/>
      <c r="I18" s="35"/>
      <c r="J18" s="35"/>
      <c r="K18" s="35"/>
      <c r="L18" s="35"/>
      <c r="M18" s="35"/>
      <c r="N18" s="35">
        <v>1000000</v>
      </c>
      <c r="O18" s="35"/>
      <c r="P18" s="35"/>
      <c r="Q18" s="35"/>
      <c r="R18" s="35"/>
      <c r="S18" s="35">
        <f>SUM(B18:R18)</f>
        <v>1000000</v>
      </c>
      <c r="T18" s="35"/>
      <c r="U18" s="35"/>
      <c r="V18" s="35"/>
      <c r="W18" s="35">
        <f t="shared" si="4"/>
        <v>1000000</v>
      </c>
    </row>
    <row r="19" ht="36.75" customHeight="1" spans="1:23">
      <c r="A19" s="40" t="s">
        <v>189</v>
      </c>
      <c r="B19" s="40"/>
      <c r="C19" s="40"/>
      <c r="D19" s="40"/>
      <c r="E19" s="40"/>
      <c r="F19" s="40"/>
      <c r="G19" s="40"/>
      <c r="H19" s="40"/>
      <c r="I19" s="40"/>
      <c r="J19" s="40"/>
      <c r="K19" s="40"/>
      <c r="L19" s="40"/>
      <c r="M19" s="40"/>
      <c r="N19" s="40"/>
      <c r="O19" s="40"/>
      <c r="P19" s="40"/>
      <c r="Q19" s="40"/>
      <c r="R19" s="40"/>
      <c r="S19" s="40"/>
      <c r="T19" s="40"/>
      <c r="U19" s="40"/>
      <c r="V19" s="40"/>
      <c r="W19" s="40"/>
    </row>
  </sheetData>
  <mergeCells count="14">
    <mergeCell ref="A1:W1"/>
    <mergeCell ref="U2:W2"/>
    <mergeCell ref="B3:M3"/>
    <mergeCell ref="N3:W3"/>
    <mergeCell ref="B4:E4"/>
    <mergeCell ref="F4:H4"/>
    <mergeCell ref="I4:L4"/>
    <mergeCell ref="N4:R4"/>
    <mergeCell ref="A19:W19"/>
    <mergeCell ref="M4:M5"/>
    <mergeCell ref="S4:S5"/>
    <mergeCell ref="T4:T5"/>
    <mergeCell ref="V4:V5"/>
    <mergeCell ref="W4:W5"/>
  </mergeCells>
  <printOptions horizontalCentered="1"/>
  <pageMargins left="0.590277777777778" right="0.590277777777778" top="0.865972222222222" bottom="0.393055555555556" header="0.511805555555556" footer="0.118055555555556"/>
  <pageSetup paperSize="9" scale="98" firstPageNumber="149" orientation="landscape" useFirstPageNumber="1"/>
  <headerFooter differentOddEven="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CC"/>
  </sheetPr>
  <dimension ref="A1:X167"/>
  <sheetViews>
    <sheetView showZeros="0" workbookViewId="0">
      <pane xSplit="20" ySplit="5" topLeftCell="U149" activePane="bottomRight" state="frozen"/>
      <selection/>
      <selection pane="topRight"/>
      <selection pane="bottomLeft"/>
      <selection pane="bottomRight" activeCell="M5" sqref="M5"/>
    </sheetView>
  </sheetViews>
  <sheetFormatPr defaultColWidth="9" defaultRowHeight="14.25"/>
  <cols>
    <col min="1" max="1" width="9.375" style="5" customWidth="1"/>
    <col min="2" max="2" width="6.75" style="6" customWidth="1"/>
    <col min="3" max="9" width="4.625" style="6" customWidth="1"/>
    <col min="10" max="10" width="4.75" style="6" customWidth="1"/>
    <col min="11" max="11" width="8.75" style="6" customWidth="1"/>
    <col min="12" max="13" width="7.375" style="6" customWidth="1"/>
    <col min="14" max="14" width="6.75" style="6" customWidth="1"/>
    <col min="15" max="15" width="7.375" style="6" customWidth="1"/>
    <col min="16" max="16" width="7.875" style="6" customWidth="1"/>
    <col min="17" max="19" width="7.375" style="6" customWidth="1"/>
    <col min="20" max="20" width="8.75" style="6" customWidth="1"/>
    <col min="21" max="16384" width="9" style="6"/>
  </cols>
  <sheetData>
    <row r="1" ht="30" customHeight="1" spans="1:20">
      <c r="A1" s="7" t="s">
        <v>190</v>
      </c>
      <c r="B1" s="8"/>
      <c r="C1" s="8"/>
      <c r="D1" s="8"/>
      <c r="E1" s="8"/>
      <c r="F1" s="8"/>
      <c r="G1" s="8"/>
      <c r="H1" s="8"/>
      <c r="I1" s="8"/>
      <c r="J1" s="8"/>
      <c r="K1" s="8"/>
      <c r="L1" s="8"/>
      <c r="M1" s="8"/>
      <c r="N1" s="8"/>
      <c r="O1" s="8"/>
      <c r="P1" s="8"/>
      <c r="Q1" s="8"/>
      <c r="R1" s="8"/>
      <c r="S1" s="8"/>
      <c r="T1" s="8"/>
    </row>
    <row r="2" s="1" customFormat="1" ht="17.25" customHeight="1" spans="1:20">
      <c r="A2" s="9"/>
      <c r="B2" s="10"/>
      <c r="C2" s="10"/>
      <c r="D2" s="10"/>
      <c r="E2" s="10"/>
      <c r="F2" s="10"/>
      <c r="G2" s="10"/>
      <c r="H2" s="10"/>
      <c r="I2" s="10"/>
      <c r="J2" s="10"/>
      <c r="K2" s="10"/>
      <c r="L2" s="10"/>
      <c r="M2" s="2"/>
      <c r="N2" s="2"/>
      <c r="O2" s="2"/>
      <c r="R2" s="15" t="s">
        <v>191</v>
      </c>
      <c r="S2" s="15"/>
      <c r="T2" s="2"/>
    </row>
    <row r="3" s="2" customFormat="1" ht="15.75" customHeight="1" spans="1:20">
      <c r="A3" s="11" t="s">
        <v>192</v>
      </c>
      <c r="B3" s="11" t="s">
        <v>193</v>
      </c>
      <c r="C3" s="11"/>
      <c r="D3" s="11"/>
      <c r="E3" s="11"/>
      <c r="F3" s="11"/>
      <c r="G3" s="11"/>
      <c r="H3" s="11"/>
      <c r="I3" s="11"/>
      <c r="J3" s="11"/>
      <c r="K3" s="11" t="s">
        <v>194</v>
      </c>
      <c r="L3" s="11"/>
      <c r="M3" s="11"/>
      <c r="N3" s="11"/>
      <c r="O3" s="11"/>
      <c r="P3" s="11"/>
      <c r="Q3" s="11"/>
      <c r="R3" s="11"/>
      <c r="S3" s="11"/>
      <c r="T3" s="11"/>
    </row>
    <row r="4" s="2" customFormat="1" ht="28.5" customHeight="1" spans="1:20">
      <c r="A4" s="11"/>
      <c r="B4" s="11" t="s">
        <v>195</v>
      </c>
      <c r="C4" s="11" t="s">
        <v>196</v>
      </c>
      <c r="D4" s="11"/>
      <c r="E4" s="11"/>
      <c r="F4" s="11" t="s">
        <v>197</v>
      </c>
      <c r="G4" s="11"/>
      <c r="H4" s="11"/>
      <c r="I4" s="11"/>
      <c r="J4" s="11"/>
      <c r="K4" s="11" t="s">
        <v>198</v>
      </c>
      <c r="L4" s="11"/>
      <c r="M4" s="11"/>
      <c r="N4" s="11"/>
      <c r="O4" s="11"/>
      <c r="P4" s="11"/>
      <c r="Q4" s="16" t="s">
        <v>199</v>
      </c>
      <c r="R4" s="16"/>
      <c r="S4" s="16" t="s">
        <v>200</v>
      </c>
      <c r="T4" s="17" t="s">
        <v>201</v>
      </c>
    </row>
    <row r="5" s="2" customFormat="1" ht="47.25" customHeight="1" spans="1:20">
      <c r="A5" s="11"/>
      <c r="B5" s="11"/>
      <c r="C5" s="11" t="s">
        <v>202</v>
      </c>
      <c r="D5" s="11" t="s">
        <v>203</v>
      </c>
      <c r="E5" s="11" t="s">
        <v>204</v>
      </c>
      <c r="F5" s="11" t="s">
        <v>205</v>
      </c>
      <c r="G5" s="11" t="s">
        <v>206</v>
      </c>
      <c r="H5" s="11" t="s">
        <v>207</v>
      </c>
      <c r="I5" s="11" t="s">
        <v>208</v>
      </c>
      <c r="J5" s="11" t="s">
        <v>209</v>
      </c>
      <c r="K5" s="11" t="s">
        <v>210</v>
      </c>
      <c r="L5" s="11" t="s">
        <v>205</v>
      </c>
      <c r="M5" s="11" t="s">
        <v>206</v>
      </c>
      <c r="N5" s="11" t="s">
        <v>207</v>
      </c>
      <c r="O5" s="11" t="s">
        <v>211</v>
      </c>
      <c r="P5" s="11" t="s">
        <v>204</v>
      </c>
      <c r="Q5" s="16" t="s">
        <v>212</v>
      </c>
      <c r="R5" s="16" t="s">
        <v>213</v>
      </c>
      <c r="S5" s="18"/>
      <c r="T5" s="17"/>
    </row>
    <row r="6" s="3" customFormat="1" ht="18" customHeight="1" spans="1:20">
      <c r="A6" s="12" t="s">
        <v>214</v>
      </c>
      <c r="B6" s="13">
        <v>297637</v>
      </c>
      <c r="C6" s="13">
        <f>C7+C55+C33+C75+C89+C115+C104+C96+C127+C149</f>
        <v>298</v>
      </c>
      <c r="D6" s="13">
        <f t="shared" ref="D6:J6" si="0">D7+D55+D33+D75+D89+D115+D104+D96+D127+D149</f>
        <v>514</v>
      </c>
      <c r="E6" s="13">
        <f t="shared" si="0"/>
        <v>812</v>
      </c>
      <c r="F6" s="13">
        <f t="shared" si="0"/>
        <v>149</v>
      </c>
      <c r="G6" s="13">
        <f t="shared" si="0"/>
        <v>1496</v>
      </c>
      <c r="H6" s="13">
        <f t="shared" si="0"/>
        <v>290</v>
      </c>
      <c r="I6" s="13">
        <f t="shared" si="0"/>
        <v>2354</v>
      </c>
      <c r="J6" s="13">
        <f t="shared" si="0"/>
        <v>659</v>
      </c>
      <c r="K6" s="13">
        <f>K7+K55+K33+K75+K89+K115+K104+K96+K127+K149+K166+K167</f>
        <v>18142160</v>
      </c>
      <c r="L6" s="13">
        <f>L7+L55+L33+L75+L89+L115+L104+L96+L127+L149+L167</f>
        <v>1396000</v>
      </c>
      <c r="M6" s="13">
        <f>M7+M55+M33+M75+M89+M115+M104+M96+M127+M149+M167</f>
        <v>1496000</v>
      </c>
      <c r="N6" s="13">
        <f>N7+N55+N33+N75+N89+N115+N104+N96+N127+N149+N167</f>
        <v>145000</v>
      </c>
      <c r="O6" s="13">
        <f>O7+O55+O33+O75+O89+O115+O104+O96+O127+O149+O167</f>
        <v>847440</v>
      </c>
      <c r="P6" s="13">
        <f>P7+P55+P33+P75+P89+P115+P104+P96+P127+P149+P166+P167</f>
        <v>22026600</v>
      </c>
      <c r="Q6" s="13">
        <f>Q7+Q55+Q33+Q75+Q89+Q115+Q104+Q96+Q127+Q149+Q166+Q167</f>
        <v>3345000</v>
      </c>
      <c r="R6" s="13">
        <f>R7+R55+R33+R75+R89+R115+R104+R96+R127+R149+R166+R167</f>
        <v>1067000</v>
      </c>
      <c r="S6" s="13">
        <f>S7+S55+S33+S75+S89+S115+S104+S96+S127+S149+S166+S167</f>
        <v>400000</v>
      </c>
      <c r="T6" s="13">
        <f>T7+T55+T33+T75+T89+T115+T104+T96+T127+T149+T166+T167</f>
        <v>25771600</v>
      </c>
    </row>
    <row r="7" s="3" customFormat="1" ht="18" customHeight="1" spans="1:20">
      <c r="A7" s="12" t="s">
        <v>215</v>
      </c>
      <c r="B7" s="13">
        <f t="shared" ref="B7:J7" si="1">B8+B9+B10+B11+B12+B13+B14+B15+B16+B17+B18+B19+B20+B21+B22+B23+B24+B25+B26+B27+B28+B29+B30+B31+B32</f>
        <v>79952</v>
      </c>
      <c r="C7" s="13">
        <f t="shared" si="1"/>
        <v>50</v>
      </c>
      <c r="D7" s="13">
        <f t="shared" si="1"/>
        <v>91</v>
      </c>
      <c r="E7" s="13">
        <f t="shared" si="1"/>
        <v>141</v>
      </c>
      <c r="F7" s="13">
        <f t="shared" si="1"/>
        <v>25</v>
      </c>
      <c r="G7" s="13">
        <f t="shared" si="1"/>
        <v>202</v>
      </c>
      <c r="H7" s="13">
        <f t="shared" si="1"/>
        <v>46</v>
      </c>
      <c r="I7" s="13">
        <f t="shared" si="1"/>
        <v>603</v>
      </c>
      <c r="J7" s="13">
        <f t="shared" si="1"/>
        <v>89</v>
      </c>
      <c r="K7" s="13">
        <f>SUM(K8:K32)</f>
        <v>3001440</v>
      </c>
      <c r="L7" s="13">
        <f t="shared" ref="L7:T7" si="2">SUM(L8:L32)</f>
        <v>236000</v>
      </c>
      <c r="M7" s="13">
        <f t="shared" si="2"/>
        <v>202000</v>
      </c>
      <c r="N7" s="13">
        <f t="shared" si="2"/>
        <v>23000</v>
      </c>
      <c r="O7" s="13">
        <f t="shared" si="2"/>
        <v>217080</v>
      </c>
      <c r="P7" s="13">
        <f t="shared" si="2"/>
        <v>3679520</v>
      </c>
      <c r="Q7" s="13">
        <f t="shared" si="2"/>
        <v>610000</v>
      </c>
      <c r="R7" s="13">
        <f t="shared" si="2"/>
        <v>187000</v>
      </c>
      <c r="S7" s="13">
        <f t="shared" si="2"/>
        <v>200000</v>
      </c>
      <c r="T7" s="13">
        <f t="shared" si="2"/>
        <v>4489520</v>
      </c>
    </row>
    <row r="8" s="2" customFormat="1" ht="18" customHeight="1" spans="1:24">
      <c r="A8" s="11" t="s">
        <v>216</v>
      </c>
      <c r="B8" s="14">
        <v>3792</v>
      </c>
      <c r="C8" s="14">
        <v>2</v>
      </c>
      <c r="D8" s="14">
        <v>5</v>
      </c>
      <c r="E8" s="14">
        <f t="shared" ref="E8:E32" si="3">SUM(C8:D8)</f>
        <v>7</v>
      </c>
      <c r="F8" s="14">
        <v>1</v>
      </c>
      <c r="G8" s="14">
        <v>12</v>
      </c>
      <c r="H8" s="14">
        <v>2</v>
      </c>
      <c r="I8" s="14">
        <v>29</v>
      </c>
      <c r="J8" s="14">
        <v>89</v>
      </c>
      <c r="K8" s="14">
        <f>C8*2200*12+D8*2200*0.7*12</f>
        <v>145200</v>
      </c>
      <c r="L8" s="14">
        <v>10000</v>
      </c>
      <c r="M8" s="14">
        <f t="shared" ref="M8:M31" si="4">G8*1000</f>
        <v>12000</v>
      </c>
      <c r="N8" s="14">
        <f t="shared" ref="N8:N32" si="5">H8*500</f>
        <v>1000</v>
      </c>
      <c r="O8" s="14">
        <f>I8*360</f>
        <v>10440</v>
      </c>
      <c r="P8" s="14">
        <f t="shared" ref="P8:P32" si="6">SUM(K8:O8)</f>
        <v>178640</v>
      </c>
      <c r="Q8" s="14">
        <v>25000</v>
      </c>
      <c r="R8" s="14">
        <v>8000</v>
      </c>
      <c r="S8" s="14"/>
      <c r="T8" s="14">
        <f t="shared" ref="T8:T32" si="7">P8+Q8+S8</f>
        <v>203640</v>
      </c>
      <c r="V8" s="2">
        <v>75.2</v>
      </c>
      <c r="W8" s="2">
        <v>23.5</v>
      </c>
      <c r="X8" s="2">
        <v>8</v>
      </c>
    </row>
    <row r="9" s="2" customFormat="1" ht="18" customHeight="1" spans="1:22">
      <c r="A9" s="11" t="s">
        <v>217</v>
      </c>
      <c r="B9" s="14">
        <v>2564</v>
      </c>
      <c r="C9" s="14">
        <v>2</v>
      </c>
      <c r="D9" s="14">
        <v>5</v>
      </c>
      <c r="E9" s="14">
        <f t="shared" si="3"/>
        <v>7</v>
      </c>
      <c r="F9" s="14">
        <v>1</v>
      </c>
      <c r="G9" s="14">
        <v>11</v>
      </c>
      <c r="H9" s="14">
        <v>2</v>
      </c>
      <c r="I9" s="14">
        <v>19</v>
      </c>
      <c r="J9" s="14"/>
      <c r="K9" s="14">
        <f>C9*2200*12+D9*2200*0.7*12</f>
        <v>145200</v>
      </c>
      <c r="L9" s="14">
        <v>10000</v>
      </c>
      <c r="M9" s="14">
        <f t="shared" si="4"/>
        <v>11000</v>
      </c>
      <c r="N9" s="14">
        <f t="shared" si="5"/>
        <v>1000</v>
      </c>
      <c r="O9" s="14">
        <f t="shared" ref="O9:O32" si="8">I9*360</f>
        <v>6840</v>
      </c>
      <c r="P9" s="14">
        <f t="shared" si="6"/>
        <v>174040</v>
      </c>
      <c r="Q9" s="14">
        <v>25000</v>
      </c>
      <c r="R9" s="14">
        <v>8000</v>
      </c>
      <c r="S9" s="14"/>
      <c r="T9" s="14">
        <f t="shared" si="7"/>
        <v>199040</v>
      </c>
      <c r="V9" s="2">
        <v>30</v>
      </c>
    </row>
    <row r="10" s="2" customFormat="1" ht="18" customHeight="1" spans="1:20">
      <c r="A10" s="11" t="s">
        <v>218</v>
      </c>
      <c r="B10" s="14">
        <v>1420</v>
      </c>
      <c r="C10" s="14">
        <v>2</v>
      </c>
      <c r="D10" s="14">
        <v>4</v>
      </c>
      <c r="E10" s="14">
        <f t="shared" si="3"/>
        <v>6</v>
      </c>
      <c r="F10" s="14">
        <v>1</v>
      </c>
      <c r="G10" s="14">
        <v>13</v>
      </c>
      <c r="H10" s="14">
        <v>2</v>
      </c>
      <c r="I10" s="14">
        <v>13</v>
      </c>
      <c r="J10" s="14"/>
      <c r="K10" s="14">
        <f>C10*2000*12+D10*2000*0.7*12</f>
        <v>115200</v>
      </c>
      <c r="L10" s="14">
        <v>8000</v>
      </c>
      <c r="M10" s="14">
        <f t="shared" si="4"/>
        <v>13000</v>
      </c>
      <c r="N10" s="14">
        <f t="shared" si="5"/>
        <v>1000</v>
      </c>
      <c r="O10" s="14">
        <f t="shared" si="8"/>
        <v>4680</v>
      </c>
      <c r="P10" s="14">
        <f t="shared" si="6"/>
        <v>141880</v>
      </c>
      <c r="Q10" s="14">
        <v>20000</v>
      </c>
      <c r="R10" s="14">
        <v>5000</v>
      </c>
      <c r="S10" s="14"/>
      <c r="T10" s="14">
        <f t="shared" si="7"/>
        <v>161880</v>
      </c>
    </row>
    <row r="11" s="2" customFormat="1" ht="18" customHeight="1" spans="1:20">
      <c r="A11" s="11" t="s">
        <v>219</v>
      </c>
      <c r="B11" s="14">
        <v>1198</v>
      </c>
      <c r="C11" s="14">
        <v>2</v>
      </c>
      <c r="D11" s="14">
        <v>3</v>
      </c>
      <c r="E11" s="14">
        <f t="shared" si="3"/>
        <v>5</v>
      </c>
      <c r="F11" s="14">
        <v>1</v>
      </c>
      <c r="G11" s="14">
        <v>4</v>
      </c>
      <c r="H11" s="14">
        <v>2</v>
      </c>
      <c r="I11" s="14">
        <v>10</v>
      </c>
      <c r="J11" s="14"/>
      <c r="K11" s="14">
        <f>C11*2000*12+D11*2000*0.7*12</f>
        <v>98400</v>
      </c>
      <c r="L11" s="14">
        <v>8000</v>
      </c>
      <c r="M11" s="14">
        <f t="shared" si="4"/>
        <v>4000</v>
      </c>
      <c r="N11" s="14">
        <f t="shared" si="5"/>
        <v>1000</v>
      </c>
      <c r="O11" s="14">
        <f t="shared" si="8"/>
        <v>3600</v>
      </c>
      <c r="P11" s="14">
        <f t="shared" si="6"/>
        <v>115000</v>
      </c>
      <c r="Q11" s="14">
        <v>20000</v>
      </c>
      <c r="R11" s="14">
        <v>5000</v>
      </c>
      <c r="S11" s="14"/>
      <c r="T11" s="14">
        <f t="shared" si="7"/>
        <v>135000</v>
      </c>
    </row>
    <row r="12" s="2" customFormat="1" ht="18" customHeight="1" spans="1:20">
      <c r="A12" s="11" t="s">
        <v>220</v>
      </c>
      <c r="B12" s="14">
        <v>380</v>
      </c>
      <c r="C12" s="14">
        <v>2</v>
      </c>
      <c r="D12" s="14">
        <v>2</v>
      </c>
      <c r="E12" s="14">
        <f t="shared" si="3"/>
        <v>4</v>
      </c>
      <c r="F12" s="14">
        <v>1</v>
      </c>
      <c r="G12" s="14"/>
      <c r="H12" s="14">
        <v>2</v>
      </c>
      <c r="I12" s="14">
        <v>3</v>
      </c>
      <c r="J12" s="14"/>
      <c r="K12" s="14">
        <f>C12*2000*12+D12*2000*0.7*12</f>
        <v>81600</v>
      </c>
      <c r="L12" s="14">
        <v>8000</v>
      </c>
      <c r="M12" s="14">
        <f t="shared" si="4"/>
        <v>0</v>
      </c>
      <c r="N12" s="14">
        <f t="shared" si="5"/>
        <v>1000</v>
      </c>
      <c r="O12" s="14">
        <f t="shared" si="8"/>
        <v>1080</v>
      </c>
      <c r="P12" s="14">
        <f t="shared" si="6"/>
        <v>91680</v>
      </c>
      <c r="Q12" s="14">
        <v>20000</v>
      </c>
      <c r="R12" s="14">
        <v>5000</v>
      </c>
      <c r="S12" s="14"/>
      <c r="T12" s="14">
        <f t="shared" si="7"/>
        <v>111680</v>
      </c>
    </row>
    <row r="13" s="2" customFormat="1" ht="18" customHeight="1" spans="1:20">
      <c r="A13" s="11" t="s">
        <v>221</v>
      </c>
      <c r="B13" s="14">
        <v>1202</v>
      </c>
      <c r="C13" s="14">
        <v>2</v>
      </c>
      <c r="D13" s="14">
        <v>3</v>
      </c>
      <c r="E13" s="14">
        <f t="shared" si="3"/>
        <v>5</v>
      </c>
      <c r="F13" s="14">
        <v>1</v>
      </c>
      <c r="G13" s="14">
        <v>4</v>
      </c>
      <c r="H13" s="14">
        <v>2</v>
      </c>
      <c r="I13" s="14">
        <v>8</v>
      </c>
      <c r="J13" s="14"/>
      <c r="K13" s="14">
        <f>C13*2000*12+D13*2000*0.7*12</f>
        <v>98400</v>
      </c>
      <c r="L13" s="14">
        <v>8000</v>
      </c>
      <c r="M13" s="14">
        <f t="shared" si="4"/>
        <v>4000</v>
      </c>
      <c r="N13" s="14">
        <f t="shared" si="5"/>
        <v>1000</v>
      </c>
      <c r="O13" s="14">
        <f t="shared" si="8"/>
        <v>2880</v>
      </c>
      <c r="P13" s="14">
        <f t="shared" si="6"/>
        <v>114280</v>
      </c>
      <c r="Q13" s="14">
        <v>20000</v>
      </c>
      <c r="R13" s="14">
        <v>5000</v>
      </c>
      <c r="S13" s="14"/>
      <c r="T13" s="14">
        <f t="shared" si="7"/>
        <v>134280</v>
      </c>
    </row>
    <row r="14" s="2" customFormat="1" ht="18" customHeight="1" spans="1:20">
      <c r="A14" s="11" t="s">
        <v>222</v>
      </c>
      <c r="B14" s="14">
        <v>4071</v>
      </c>
      <c r="C14" s="14">
        <v>2</v>
      </c>
      <c r="D14" s="14">
        <v>4</v>
      </c>
      <c r="E14" s="14">
        <f t="shared" si="3"/>
        <v>6</v>
      </c>
      <c r="F14" s="14">
        <v>1</v>
      </c>
      <c r="G14" s="14">
        <v>12</v>
      </c>
      <c r="H14" s="14">
        <v>2</v>
      </c>
      <c r="I14" s="14">
        <v>33</v>
      </c>
      <c r="J14" s="14"/>
      <c r="K14" s="14">
        <f t="shared" ref="K14:K21" si="9">C14*2200*12+D14*2200*0.7*12</f>
        <v>126720</v>
      </c>
      <c r="L14" s="14">
        <v>10000</v>
      </c>
      <c r="M14" s="14">
        <f t="shared" si="4"/>
        <v>12000</v>
      </c>
      <c r="N14" s="14">
        <f t="shared" si="5"/>
        <v>1000</v>
      </c>
      <c r="O14" s="14">
        <f t="shared" si="8"/>
        <v>11880</v>
      </c>
      <c r="P14" s="14">
        <f t="shared" si="6"/>
        <v>161600</v>
      </c>
      <c r="Q14" s="14">
        <v>25000</v>
      </c>
      <c r="R14" s="14">
        <v>8000</v>
      </c>
      <c r="S14" s="14"/>
      <c r="T14" s="14">
        <f t="shared" si="7"/>
        <v>186600</v>
      </c>
    </row>
    <row r="15" s="2" customFormat="1" ht="18" customHeight="1" spans="1:20">
      <c r="A15" s="11" t="s">
        <v>223</v>
      </c>
      <c r="B15" s="14">
        <v>1878</v>
      </c>
      <c r="C15" s="14">
        <v>2</v>
      </c>
      <c r="D15" s="14">
        <v>3</v>
      </c>
      <c r="E15" s="14">
        <f t="shared" si="3"/>
        <v>5</v>
      </c>
      <c r="F15" s="14">
        <v>1</v>
      </c>
      <c r="G15" s="14">
        <v>7</v>
      </c>
      <c r="H15" s="14">
        <v>2</v>
      </c>
      <c r="I15" s="14">
        <v>13</v>
      </c>
      <c r="J15" s="14"/>
      <c r="K15" s="14">
        <f t="shared" si="9"/>
        <v>108240</v>
      </c>
      <c r="L15" s="14">
        <v>10000</v>
      </c>
      <c r="M15" s="14">
        <f t="shared" si="4"/>
        <v>7000</v>
      </c>
      <c r="N15" s="14">
        <f t="shared" si="5"/>
        <v>1000</v>
      </c>
      <c r="O15" s="14">
        <f t="shared" si="8"/>
        <v>4680</v>
      </c>
      <c r="P15" s="14">
        <f t="shared" si="6"/>
        <v>130920</v>
      </c>
      <c r="Q15" s="14">
        <v>25000</v>
      </c>
      <c r="R15" s="14">
        <v>8000</v>
      </c>
      <c r="S15" s="14"/>
      <c r="T15" s="14">
        <f t="shared" si="7"/>
        <v>155920</v>
      </c>
    </row>
    <row r="16" s="2" customFormat="1" ht="18" customHeight="1" spans="1:20">
      <c r="A16" s="11" t="s">
        <v>224</v>
      </c>
      <c r="B16" s="14">
        <v>2270</v>
      </c>
      <c r="C16" s="14">
        <v>2</v>
      </c>
      <c r="D16" s="14">
        <v>3</v>
      </c>
      <c r="E16" s="14">
        <f t="shared" si="3"/>
        <v>5</v>
      </c>
      <c r="F16" s="14">
        <v>1</v>
      </c>
      <c r="G16" s="14">
        <v>6</v>
      </c>
      <c r="H16" s="14">
        <v>2</v>
      </c>
      <c r="I16" s="14">
        <v>16</v>
      </c>
      <c r="J16" s="14"/>
      <c r="K16" s="14">
        <f t="shared" si="9"/>
        <v>108240</v>
      </c>
      <c r="L16" s="14">
        <v>10000</v>
      </c>
      <c r="M16" s="14">
        <f t="shared" si="4"/>
        <v>6000</v>
      </c>
      <c r="N16" s="14">
        <f t="shared" si="5"/>
        <v>1000</v>
      </c>
      <c r="O16" s="14">
        <f t="shared" si="8"/>
        <v>5760</v>
      </c>
      <c r="P16" s="14">
        <f t="shared" si="6"/>
        <v>131000</v>
      </c>
      <c r="Q16" s="14">
        <v>25000</v>
      </c>
      <c r="R16" s="14">
        <v>8000</v>
      </c>
      <c r="S16" s="14"/>
      <c r="T16" s="14">
        <f t="shared" si="7"/>
        <v>156000</v>
      </c>
    </row>
    <row r="17" s="2" customFormat="1" ht="18" customHeight="1" spans="1:20">
      <c r="A17" s="11" t="s">
        <v>225</v>
      </c>
      <c r="B17" s="14">
        <v>6422</v>
      </c>
      <c r="C17" s="14">
        <v>2</v>
      </c>
      <c r="D17" s="14">
        <v>4</v>
      </c>
      <c r="E17" s="14">
        <f t="shared" si="3"/>
        <v>6</v>
      </c>
      <c r="F17" s="14">
        <v>1</v>
      </c>
      <c r="G17" s="14">
        <v>16</v>
      </c>
      <c r="H17" s="14">
        <v>2</v>
      </c>
      <c r="I17" s="14">
        <v>50</v>
      </c>
      <c r="J17" s="14"/>
      <c r="K17" s="14">
        <f t="shared" si="9"/>
        <v>126720</v>
      </c>
      <c r="L17" s="14">
        <v>10000</v>
      </c>
      <c r="M17" s="14">
        <f t="shared" si="4"/>
        <v>16000</v>
      </c>
      <c r="N17" s="14">
        <f t="shared" si="5"/>
        <v>1000</v>
      </c>
      <c r="O17" s="14">
        <f t="shared" si="8"/>
        <v>18000</v>
      </c>
      <c r="P17" s="14">
        <f t="shared" si="6"/>
        <v>171720</v>
      </c>
      <c r="Q17" s="14">
        <v>25000</v>
      </c>
      <c r="R17" s="14">
        <v>8000</v>
      </c>
      <c r="S17" s="14"/>
      <c r="T17" s="14">
        <f t="shared" si="7"/>
        <v>196720</v>
      </c>
    </row>
    <row r="18" s="2" customFormat="1" ht="18" customHeight="1" spans="1:20">
      <c r="A18" s="11" t="s">
        <v>226</v>
      </c>
      <c r="B18" s="14">
        <v>3607</v>
      </c>
      <c r="C18" s="14">
        <v>2</v>
      </c>
      <c r="D18" s="14">
        <v>4</v>
      </c>
      <c r="E18" s="14">
        <f t="shared" si="3"/>
        <v>6</v>
      </c>
      <c r="F18" s="14">
        <v>1</v>
      </c>
      <c r="G18" s="14">
        <v>13</v>
      </c>
      <c r="H18" s="14">
        <v>2</v>
      </c>
      <c r="I18" s="14">
        <v>25</v>
      </c>
      <c r="J18" s="14"/>
      <c r="K18" s="14">
        <f t="shared" si="9"/>
        <v>126720</v>
      </c>
      <c r="L18" s="14">
        <v>10000</v>
      </c>
      <c r="M18" s="14">
        <f t="shared" si="4"/>
        <v>13000</v>
      </c>
      <c r="N18" s="14">
        <f t="shared" si="5"/>
        <v>1000</v>
      </c>
      <c r="O18" s="14">
        <f t="shared" si="8"/>
        <v>9000</v>
      </c>
      <c r="P18" s="14">
        <f t="shared" si="6"/>
        <v>159720</v>
      </c>
      <c r="Q18" s="14">
        <v>25000</v>
      </c>
      <c r="R18" s="14">
        <v>8000</v>
      </c>
      <c r="S18" s="14"/>
      <c r="T18" s="14">
        <f t="shared" si="7"/>
        <v>184720</v>
      </c>
    </row>
    <row r="19" s="2" customFormat="1" ht="18" customHeight="1" spans="1:20">
      <c r="A19" s="11" t="s">
        <v>227</v>
      </c>
      <c r="B19" s="14">
        <v>4861</v>
      </c>
      <c r="C19" s="14">
        <v>2</v>
      </c>
      <c r="D19" s="14">
        <v>4</v>
      </c>
      <c r="E19" s="14">
        <f t="shared" si="3"/>
        <v>6</v>
      </c>
      <c r="F19" s="14">
        <v>1</v>
      </c>
      <c r="G19" s="14">
        <v>20</v>
      </c>
      <c r="H19" s="14">
        <v>2</v>
      </c>
      <c r="I19" s="14">
        <v>39</v>
      </c>
      <c r="J19" s="14"/>
      <c r="K19" s="14">
        <f t="shared" si="9"/>
        <v>126720</v>
      </c>
      <c r="L19" s="14">
        <v>10000</v>
      </c>
      <c r="M19" s="14">
        <f t="shared" si="4"/>
        <v>20000</v>
      </c>
      <c r="N19" s="14">
        <f t="shared" si="5"/>
        <v>1000</v>
      </c>
      <c r="O19" s="14">
        <f t="shared" si="8"/>
        <v>14040</v>
      </c>
      <c r="P19" s="14">
        <f t="shared" si="6"/>
        <v>171760</v>
      </c>
      <c r="Q19" s="14">
        <v>25000</v>
      </c>
      <c r="R19" s="14">
        <v>8000</v>
      </c>
      <c r="S19" s="14"/>
      <c r="T19" s="14">
        <f t="shared" si="7"/>
        <v>196760</v>
      </c>
    </row>
    <row r="20" s="2" customFormat="1" ht="18" customHeight="1" spans="1:20">
      <c r="A20" s="11" t="s">
        <v>228</v>
      </c>
      <c r="B20" s="14">
        <v>3846</v>
      </c>
      <c r="C20" s="14">
        <v>2</v>
      </c>
      <c r="D20" s="14">
        <v>4</v>
      </c>
      <c r="E20" s="14">
        <f t="shared" si="3"/>
        <v>6</v>
      </c>
      <c r="F20" s="14">
        <v>1</v>
      </c>
      <c r="G20" s="14">
        <v>19</v>
      </c>
      <c r="H20" s="14">
        <v>2</v>
      </c>
      <c r="I20" s="14">
        <v>34</v>
      </c>
      <c r="J20" s="14"/>
      <c r="K20" s="14">
        <f t="shared" si="9"/>
        <v>126720</v>
      </c>
      <c r="L20" s="14">
        <v>10000</v>
      </c>
      <c r="M20" s="14">
        <f t="shared" si="4"/>
        <v>19000</v>
      </c>
      <c r="N20" s="14">
        <f t="shared" si="5"/>
        <v>1000</v>
      </c>
      <c r="O20" s="14">
        <f t="shared" si="8"/>
        <v>12240</v>
      </c>
      <c r="P20" s="14">
        <f t="shared" si="6"/>
        <v>168960</v>
      </c>
      <c r="Q20" s="14">
        <v>25000</v>
      </c>
      <c r="R20" s="14">
        <v>8000</v>
      </c>
      <c r="S20" s="14"/>
      <c r="T20" s="14">
        <f t="shared" si="7"/>
        <v>193960</v>
      </c>
    </row>
    <row r="21" s="2" customFormat="1" ht="18" customHeight="1" spans="1:20">
      <c r="A21" s="11" t="s">
        <v>229</v>
      </c>
      <c r="B21" s="14">
        <v>2468</v>
      </c>
      <c r="C21" s="14">
        <v>2</v>
      </c>
      <c r="D21" s="14">
        <v>3</v>
      </c>
      <c r="E21" s="14">
        <f t="shared" si="3"/>
        <v>5</v>
      </c>
      <c r="F21" s="14">
        <v>1</v>
      </c>
      <c r="G21" s="14">
        <v>12</v>
      </c>
      <c r="H21" s="14">
        <v>2</v>
      </c>
      <c r="I21" s="14">
        <v>20</v>
      </c>
      <c r="J21" s="14"/>
      <c r="K21" s="14">
        <f t="shared" si="9"/>
        <v>108240</v>
      </c>
      <c r="L21" s="14">
        <v>10000</v>
      </c>
      <c r="M21" s="14">
        <f t="shared" si="4"/>
        <v>12000</v>
      </c>
      <c r="N21" s="14">
        <f t="shared" si="5"/>
        <v>1000</v>
      </c>
      <c r="O21" s="14">
        <f t="shared" si="8"/>
        <v>7200</v>
      </c>
      <c r="P21" s="14">
        <f t="shared" si="6"/>
        <v>138440</v>
      </c>
      <c r="Q21" s="14">
        <v>25000</v>
      </c>
      <c r="R21" s="14">
        <v>8000</v>
      </c>
      <c r="S21" s="14"/>
      <c r="T21" s="14">
        <f t="shared" si="7"/>
        <v>163440</v>
      </c>
    </row>
    <row r="22" s="2" customFormat="1" ht="18" customHeight="1" spans="1:20">
      <c r="A22" s="11" t="s">
        <v>230</v>
      </c>
      <c r="B22" s="14">
        <v>1075</v>
      </c>
      <c r="C22" s="14">
        <v>2</v>
      </c>
      <c r="D22" s="14">
        <v>3</v>
      </c>
      <c r="E22" s="14">
        <f t="shared" si="3"/>
        <v>5</v>
      </c>
      <c r="F22" s="14">
        <v>1</v>
      </c>
      <c r="G22" s="14">
        <v>8</v>
      </c>
      <c r="H22" s="14">
        <v>2</v>
      </c>
      <c r="I22" s="14">
        <v>8</v>
      </c>
      <c r="J22" s="14"/>
      <c r="K22" s="14">
        <f>C22*2000*12+D22*2000*0.7*12</f>
        <v>98400</v>
      </c>
      <c r="L22" s="14">
        <v>8000</v>
      </c>
      <c r="M22" s="14">
        <f t="shared" si="4"/>
        <v>8000</v>
      </c>
      <c r="N22" s="14">
        <f t="shared" si="5"/>
        <v>1000</v>
      </c>
      <c r="O22" s="14">
        <f t="shared" si="8"/>
        <v>2880</v>
      </c>
      <c r="P22" s="14">
        <f t="shared" si="6"/>
        <v>118280</v>
      </c>
      <c r="Q22" s="14">
        <v>20000</v>
      </c>
      <c r="R22" s="14">
        <v>5000</v>
      </c>
      <c r="S22" s="14"/>
      <c r="T22" s="14">
        <f t="shared" si="7"/>
        <v>138280</v>
      </c>
    </row>
    <row r="23" s="2" customFormat="1" ht="18" customHeight="1" spans="1:20">
      <c r="A23" s="11" t="s">
        <v>231</v>
      </c>
      <c r="B23" s="14">
        <v>1817</v>
      </c>
      <c r="C23" s="14">
        <v>2</v>
      </c>
      <c r="D23" s="14">
        <v>3</v>
      </c>
      <c r="E23" s="14">
        <f t="shared" si="3"/>
        <v>5</v>
      </c>
      <c r="F23" s="14">
        <v>1</v>
      </c>
      <c r="G23" s="14">
        <v>8</v>
      </c>
      <c r="H23" s="14">
        <v>2</v>
      </c>
      <c r="I23" s="14">
        <v>14</v>
      </c>
      <c r="J23" s="14"/>
      <c r="K23" s="14">
        <f t="shared" ref="K23:K28" si="10">C23*2200*12+D23*2200*0.7*12</f>
        <v>108240</v>
      </c>
      <c r="L23" s="14">
        <v>10000</v>
      </c>
      <c r="M23" s="14">
        <f t="shared" si="4"/>
        <v>8000</v>
      </c>
      <c r="N23" s="14">
        <f t="shared" si="5"/>
        <v>1000</v>
      </c>
      <c r="O23" s="14">
        <f t="shared" si="8"/>
        <v>5040</v>
      </c>
      <c r="P23" s="14">
        <f t="shared" si="6"/>
        <v>132280</v>
      </c>
      <c r="Q23" s="14">
        <v>25000</v>
      </c>
      <c r="R23" s="14">
        <v>8000</v>
      </c>
      <c r="S23" s="14"/>
      <c r="T23" s="14">
        <f t="shared" si="7"/>
        <v>157280</v>
      </c>
    </row>
    <row r="24" s="2" customFormat="1" ht="18" customHeight="1" spans="1:20">
      <c r="A24" s="11" t="s">
        <v>232</v>
      </c>
      <c r="B24" s="14">
        <v>1044</v>
      </c>
      <c r="C24" s="14">
        <v>2</v>
      </c>
      <c r="D24" s="14">
        <v>3</v>
      </c>
      <c r="E24" s="14">
        <f t="shared" si="3"/>
        <v>5</v>
      </c>
      <c r="F24" s="14">
        <v>1</v>
      </c>
      <c r="G24" s="14">
        <v>4</v>
      </c>
      <c r="H24" s="14">
        <v>2</v>
      </c>
      <c r="I24" s="14">
        <v>7</v>
      </c>
      <c r="J24" s="14"/>
      <c r="K24" s="14">
        <f>C24*2000*12+D24*2000*0.7*12</f>
        <v>98400</v>
      </c>
      <c r="L24" s="14">
        <v>8000</v>
      </c>
      <c r="M24" s="14">
        <f t="shared" si="4"/>
        <v>4000</v>
      </c>
      <c r="N24" s="14">
        <f t="shared" si="5"/>
        <v>1000</v>
      </c>
      <c r="O24" s="14">
        <f t="shared" si="8"/>
        <v>2520</v>
      </c>
      <c r="P24" s="14">
        <f t="shared" si="6"/>
        <v>113920</v>
      </c>
      <c r="Q24" s="14">
        <v>20000</v>
      </c>
      <c r="R24" s="14">
        <v>5000</v>
      </c>
      <c r="S24" s="14"/>
      <c r="T24" s="14">
        <f t="shared" si="7"/>
        <v>133920</v>
      </c>
    </row>
    <row r="25" s="2" customFormat="1" ht="18" customHeight="1" spans="1:20">
      <c r="A25" s="11" t="s">
        <v>233</v>
      </c>
      <c r="B25" s="14">
        <v>1407</v>
      </c>
      <c r="C25" s="14">
        <v>2</v>
      </c>
      <c r="D25" s="14">
        <v>3</v>
      </c>
      <c r="E25" s="14">
        <f t="shared" si="3"/>
        <v>5</v>
      </c>
      <c r="F25" s="14">
        <v>1</v>
      </c>
      <c r="G25" s="14">
        <v>5</v>
      </c>
      <c r="H25" s="14">
        <v>2</v>
      </c>
      <c r="I25" s="14">
        <v>10</v>
      </c>
      <c r="J25" s="14"/>
      <c r="K25" s="14">
        <f>C25*2000*12+D25*2000*0.7*12</f>
        <v>98400</v>
      </c>
      <c r="L25" s="14">
        <v>8000</v>
      </c>
      <c r="M25" s="14">
        <f t="shared" si="4"/>
        <v>5000</v>
      </c>
      <c r="N25" s="14">
        <f t="shared" si="5"/>
        <v>1000</v>
      </c>
      <c r="O25" s="14">
        <f t="shared" si="8"/>
        <v>3600</v>
      </c>
      <c r="P25" s="14">
        <f t="shared" si="6"/>
        <v>116000</v>
      </c>
      <c r="Q25" s="14">
        <v>20000</v>
      </c>
      <c r="R25" s="14">
        <v>5000</v>
      </c>
      <c r="S25" s="14"/>
      <c r="T25" s="14">
        <f t="shared" si="7"/>
        <v>136000</v>
      </c>
    </row>
    <row r="26" s="2" customFormat="1" ht="18" customHeight="1" spans="1:20">
      <c r="A26" s="11" t="s">
        <v>234</v>
      </c>
      <c r="B26" s="14">
        <v>2014</v>
      </c>
      <c r="C26" s="14">
        <v>2</v>
      </c>
      <c r="D26" s="14">
        <v>3</v>
      </c>
      <c r="E26" s="14">
        <f t="shared" si="3"/>
        <v>5</v>
      </c>
      <c r="F26" s="14">
        <v>1</v>
      </c>
      <c r="G26" s="14">
        <v>9</v>
      </c>
      <c r="H26" s="14">
        <v>2</v>
      </c>
      <c r="I26" s="14">
        <v>13</v>
      </c>
      <c r="J26" s="14"/>
      <c r="K26" s="14">
        <f t="shared" si="10"/>
        <v>108240</v>
      </c>
      <c r="L26" s="14">
        <v>10000</v>
      </c>
      <c r="M26" s="14">
        <f t="shared" si="4"/>
        <v>9000</v>
      </c>
      <c r="N26" s="14">
        <f t="shared" si="5"/>
        <v>1000</v>
      </c>
      <c r="O26" s="14">
        <f t="shared" si="8"/>
        <v>4680</v>
      </c>
      <c r="P26" s="14">
        <f t="shared" si="6"/>
        <v>132920</v>
      </c>
      <c r="Q26" s="14">
        <v>25000</v>
      </c>
      <c r="R26" s="14">
        <v>8000</v>
      </c>
      <c r="S26" s="14"/>
      <c r="T26" s="14">
        <f t="shared" si="7"/>
        <v>157920</v>
      </c>
    </row>
    <row r="27" s="2" customFormat="1" ht="18" customHeight="1" spans="1:20">
      <c r="A27" s="11" t="s">
        <v>235</v>
      </c>
      <c r="B27" s="14">
        <v>2547</v>
      </c>
      <c r="C27" s="14">
        <v>2</v>
      </c>
      <c r="D27" s="14">
        <v>4</v>
      </c>
      <c r="E27" s="14">
        <f t="shared" si="3"/>
        <v>6</v>
      </c>
      <c r="F27" s="14">
        <v>1</v>
      </c>
      <c r="G27" s="14">
        <v>10</v>
      </c>
      <c r="H27" s="14">
        <v>2</v>
      </c>
      <c r="I27" s="14">
        <v>19</v>
      </c>
      <c r="J27" s="14"/>
      <c r="K27" s="14">
        <f t="shared" si="10"/>
        <v>126720</v>
      </c>
      <c r="L27" s="14">
        <v>10000</v>
      </c>
      <c r="M27" s="14">
        <f t="shared" si="4"/>
        <v>10000</v>
      </c>
      <c r="N27" s="14">
        <f t="shared" si="5"/>
        <v>1000</v>
      </c>
      <c r="O27" s="14">
        <f t="shared" si="8"/>
        <v>6840</v>
      </c>
      <c r="P27" s="14">
        <f t="shared" si="6"/>
        <v>154560</v>
      </c>
      <c r="Q27" s="14">
        <v>25000</v>
      </c>
      <c r="R27" s="14">
        <v>8000</v>
      </c>
      <c r="S27" s="14"/>
      <c r="T27" s="14">
        <f t="shared" si="7"/>
        <v>179560</v>
      </c>
    </row>
    <row r="28" s="2" customFormat="1" ht="18" customHeight="1" spans="1:20">
      <c r="A28" s="11" t="s">
        <v>236</v>
      </c>
      <c r="B28" s="14">
        <v>2729</v>
      </c>
      <c r="C28" s="14">
        <v>2</v>
      </c>
      <c r="D28" s="14">
        <v>4</v>
      </c>
      <c r="E28" s="14">
        <f t="shared" si="3"/>
        <v>6</v>
      </c>
      <c r="F28" s="14">
        <v>1</v>
      </c>
      <c r="G28" s="14">
        <v>9</v>
      </c>
      <c r="H28" s="14">
        <v>2</v>
      </c>
      <c r="I28" s="14">
        <v>20</v>
      </c>
      <c r="J28" s="14"/>
      <c r="K28" s="14">
        <f t="shared" si="10"/>
        <v>126720</v>
      </c>
      <c r="L28" s="14">
        <v>10000</v>
      </c>
      <c r="M28" s="14">
        <f t="shared" si="4"/>
        <v>9000</v>
      </c>
      <c r="N28" s="14">
        <f t="shared" si="5"/>
        <v>1000</v>
      </c>
      <c r="O28" s="14">
        <f t="shared" si="8"/>
        <v>7200</v>
      </c>
      <c r="P28" s="14">
        <f t="shared" si="6"/>
        <v>153920</v>
      </c>
      <c r="Q28" s="14">
        <v>25000</v>
      </c>
      <c r="R28" s="14">
        <v>8000</v>
      </c>
      <c r="S28" s="14"/>
      <c r="T28" s="14">
        <f t="shared" si="7"/>
        <v>178920</v>
      </c>
    </row>
    <row r="29" s="2" customFormat="1" ht="18" customHeight="1" spans="1:20">
      <c r="A29" s="11" t="s">
        <v>237</v>
      </c>
      <c r="B29" s="14">
        <v>6500</v>
      </c>
      <c r="C29" s="14">
        <v>2</v>
      </c>
      <c r="D29" s="14">
        <v>5</v>
      </c>
      <c r="E29" s="14">
        <f t="shared" si="3"/>
        <v>7</v>
      </c>
      <c r="F29" s="14">
        <v>1</v>
      </c>
      <c r="G29" s="14"/>
      <c r="H29" s="14">
        <v>1</v>
      </c>
      <c r="I29" s="14">
        <v>62</v>
      </c>
      <c r="J29" s="14"/>
      <c r="K29" s="14">
        <f>C29*2500*12+2*2000*12+3*1500*12</f>
        <v>162000</v>
      </c>
      <c r="L29" s="14">
        <v>10000</v>
      </c>
      <c r="M29" s="14">
        <f t="shared" si="4"/>
        <v>0</v>
      </c>
      <c r="N29" s="14">
        <f t="shared" si="5"/>
        <v>500</v>
      </c>
      <c r="O29" s="14">
        <f t="shared" si="8"/>
        <v>22320</v>
      </c>
      <c r="P29" s="14">
        <f t="shared" si="6"/>
        <v>194820</v>
      </c>
      <c r="Q29" s="14">
        <v>30000</v>
      </c>
      <c r="R29" s="14">
        <v>10000</v>
      </c>
      <c r="S29" s="14">
        <v>50000</v>
      </c>
      <c r="T29" s="14">
        <f t="shared" si="7"/>
        <v>274820</v>
      </c>
    </row>
    <row r="30" s="2" customFormat="1" ht="18" customHeight="1" spans="1:20">
      <c r="A30" s="11" t="s">
        <v>238</v>
      </c>
      <c r="B30" s="14">
        <v>8380</v>
      </c>
      <c r="C30" s="14">
        <v>2</v>
      </c>
      <c r="D30" s="14">
        <v>4</v>
      </c>
      <c r="E30" s="14">
        <f t="shared" si="3"/>
        <v>6</v>
      </c>
      <c r="F30" s="14">
        <v>1</v>
      </c>
      <c r="G30" s="14"/>
      <c r="H30" s="14">
        <v>1</v>
      </c>
      <c r="I30" s="14">
        <v>58</v>
      </c>
      <c r="J30" s="14"/>
      <c r="K30" s="14">
        <f>C30*2500*12+2*2000*12+2*1500*12</f>
        <v>144000</v>
      </c>
      <c r="L30" s="14">
        <v>10000</v>
      </c>
      <c r="M30" s="14">
        <f t="shared" si="4"/>
        <v>0</v>
      </c>
      <c r="N30" s="14">
        <f t="shared" si="5"/>
        <v>500</v>
      </c>
      <c r="O30" s="14">
        <f t="shared" si="8"/>
        <v>20880</v>
      </c>
      <c r="P30" s="14">
        <f t="shared" si="6"/>
        <v>175380</v>
      </c>
      <c r="Q30" s="14">
        <v>30000</v>
      </c>
      <c r="R30" s="14">
        <v>10000</v>
      </c>
      <c r="S30" s="14">
        <v>50000</v>
      </c>
      <c r="T30" s="14">
        <f t="shared" si="7"/>
        <v>255380</v>
      </c>
    </row>
    <row r="31" s="2" customFormat="1" ht="18" customHeight="1" spans="1:20">
      <c r="A31" s="11" t="s">
        <v>239</v>
      </c>
      <c r="B31" s="14">
        <v>8500</v>
      </c>
      <c r="C31" s="14">
        <v>2</v>
      </c>
      <c r="D31" s="14">
        <v>4</v>
      </c>
      <c r="E31" s="14">
        <f t="shared" si="3"/>
        <v>6</v>
      </c>
      <c r="F31" s="14">
        <v>1</v>
      </c>
      <c r="G31" s="14"/>
      <c r="H31" s="14">
        <v>1</v>
      </c>
      <c r="I31" s="14">
        <v>52</v>
      </c>
      <c r="J31" s="14"/>
      <c r="K31" s="14">
        <f>C31*2500*12+2*2000*12+2*1500*12</f>
        <v>144000</v>
      </c>
      <c r="L31" s="14">
        <v>10000</v>
      </c>
      <c r="M31" s="14">
        <f t="shared" si="4"/>
        <v>0</v>
      </c>
      <c r="N31" s="14">
        <f t="shared" si="5"/>
        <v>500</v>
      </c>
      <c r="O31" s="14">
        <f t="shared" si="8"/>
        <v>18720</v>
      </c>
      <c r="P31" s="14">
        <f t="shared" si="6"/>
        <v>173220</v>
      </c>
      <c r="Q31" s="14">
        <v>30000</v>
      </c>
      <c r="R31" s="14">
        <v>10000</v>
      </c>
      <c r="S31" s="14">
        <v>50000</v>
      </c>
      <c r="T31" s="14">
        <f t="shared" si="7"/>
        <v>253220</v>
      </c>
    </row>
    <row r="32" s="2" customFormat="1" ht="18" customHeight="1" spans="1:20">
      <c r="A32" s="11" t="s">
        <v>240</v>
      </c>
      <c r="B32" s="14">
        <v>3960</v>
      </c>
      <c r="C32" s="14">
        <v>2</v>
      </c>
      <c r="D32" s="14">
        <v>4</v>
      </c>
      <c r="E32" s="14">
        <f t="shared" si="3"/>
        <v>6</v>
      </c>
      <c r="F32" s="14">
        <v>1</v>
      </c>
      <c r="G32" s="14"/>
      <c r="H32" s="14">
        <v>1</v>
      </c>
      <c r="I32" s="14">
        <v>28</v>
      </c>
      <c r="J32" s="14"/>
      <c r="K32" s="14">
        <f>C32*2500*12+2*2000*12+2*1500*12</f>
        <v>144000</v>
      </c>
      <c r="L32" s="14">
        <v>10000</v>
      </c>
      <c r="M32" s="14">
        <f>G32*800</f>
        <v>0</v>
      </c>
      <c r="N32" s="14">
        <f t="shared" si="5"/>
        <v>500</v>
      </c>
      <c r="O32" s="14">
        <f t="shared" si="8"/>
        <v>10080</v>
      </c>
      <c r="P32" s="14">
        <f t="shared" si="6"/>
        <v>164580</v>
      </c>
      <c r="Q32" s="14">
        <v>30000</v>
      </c>
      <c r="R32" s="14">
        <v>10000</v>
      </c>
      <c r="S32" s="14">
        <v>50000</v>
      </c>
      <c r="T32" s="14">
        <f t="shared" si="7"/>
        <v>244580</v>
      </c>
    </row>
    <row r="33" s="3" customFormat="1" ht="18" customHeight="1" spans="1:20">
      <c r="A33" s="12" t="s">
        <v>241</v>
      </c>
      <c r="B33" s="13">
        <f t="shared" ref="B33:J33" si="11">B34+B35+B36+B37+B38+B39+B40+B41+B42+B43+B44+B45+B46+B47+B48+B49+B50+B51+B52+B53+B54</f>
        <v>45315</v>
      </c>
      <c r="C33" s="13">
        <f t="shared" si="11"/>
        <v>42</v>
      </c>
      <c r="D33" s="13">
        <f t="shared" si="11"/>
        <v>73</v>
      </c>
      <c r="E33" s="13">
        <f t="shared" si="11"/>
        <v>115</v>
      </c>
      <c r="F33" s="13">
        <f t="shared" si="11"/>
        <v>21</v>
      </c>
      <c r="G33" s="13">
        <f t="shared" si="11"/>
        <v>191</v>
      </c>
      <c r="H33" s="13">
        <f t="shared" si="11"/>
        <v>41</v>
      </c>
      <c r="I33" s="13">
        <f t="shared" si="11"/>
        <v>328</v>
      </c>
      <c r="J33" s="13">
        <f t="shared" si="11"/>
        <v>86</v>
      </c>
      <c r="K33" s="13">
        <f>SUM(K34:K54)</f>
        <v>2425920</v>
      </c>
      <c r="L33" s="13">
        <f t="shared" ref="L33:T33" si="12">SUM(L34:L54)</f>
        <v>200000</v>
      </c>
      <c r="M33" s="13">
        <f t="shared" si="12"/>
        <v>191000</v>
      </c>
      <c r="N33" s="13">
        <f t="shared" si="12"/>
        <v>20500</v>
      </c>
      <c r="O33" s="13">
        <f t="shared" si="12"/>
        <v>118080</v>
      </c>
      <c r="P33" s="13">
        <f t="shared" si="12"/>
        <v>2955500</v>
      </c>
      <c r="Q33" s="13">
        <f t="shared" si="12"/>
        <v>505000</v>
      </c>
      <c r="R33" s="13">
        <f t="shared" si="12"/>
        <v>155000</v>
      </c>
      <c r="S33" s="13">
        <f t="shared" si="12"/>
        <v>50000</v>
      </c>
      <c r="T33" s="13">
        <f t="shared" si="12"/>
        <v>3510500</v>
      </c>
    </row>
    <row r="34" s="2" customFormat="1" ht="18" customHeight="1" spans="1:20">
      <c r="A34" s="11" t="s">
        <v>242</v>
      </c>
      <c r="B34" s="14">
        <v>1661</v>
      </c>
      <c r="C34" s="14">
        <v>2</v>
      </c>
      <c r="D34" s="14">
        <v>4</v>
      </c>
      <c r="E34" s="14">
        <f t="shared" ref="E34:E54" si="13">SUM(C34:D34)</f>
        <v>6</v>
      </c>
      <c r="F34" s="14">
        <v>1</v>
      </c>
      <c r="G34" s="14">
        <v>11</v>
      </c>
      <c r="H34" s="14">
        <v>2</v>
      </c>
      <c r="I34" s="14">
        <v>14</v>
      </c>
      <c r="J34" s="14">
        <v>86</v>
      </c>
      <c r="K34" s="14">
        <f t="shared" ref="K34:K43" si="14">C34*2200*12+D34*2200*0.7*12</f>
        <v>126720</v>
      </c>
      <c r="L34" s="14">
        <v>10000</v>
      </c>
      <c r="M34" s="14">
        <f t="shared" ref="M34:M53" si="15">G34*1000</f>
        <v>11000</v>
      </c>
      <c r="N34" s="14">
        <f t="shared" ref="N34:N54" si="16">H34*500</f>
        <v>1000</v>
      </c>
      <c r="O34" s="14">
        <f>I34*360</f>
        <v>5040</v>
      </c>
      <c r="P34" s="14">
        <f t="shared" ref="P34:P54" si="17">SUM(K34:O34)</f>
        <v>153760</v>
      </c>
      <c r="Q34" s="14">
        <v>25000</v>
      </c>
      <c r="R34" s="14">
        <v>8000</v>
      </c>
      <c r="S34" s="14"/>
      <c r="T34" s="14">
        <f t="shared" ref="T34:T54" si="18">P34+Q34+S34</f>
        <v>178760</v>
      </c>
    </row>
    <row r="35" s="2" customFormat="1" ht="18" customHeight="1" spans="1:20">
      <c r="A35" s="11" t="s">
        <v>243</v>
      </c>
      <c r="B35" s="14">
        <v>1834</v>
      </c>
      <c r="C35" s="14">
        <v>2</v>
      </c>
      <c r="D35" s="14">
        <v>4</v>
      </c>
      <c r="E35" s="14">
        <f t="shared" si="13"/>
        <v>6</v>
      </c>
      <c r="F35" s="14">
        <v>1</v>
      </c>
      <c r="G35" s="14">
        <v>12</v>
      </c>
      <c r="H35" s="14">
        <v>2</v>
      </c>
      <c r="I35" s="14">
        <v>14</v>
      </c>
      <c r="J35" s="14"/>
      <c r="K35" s="14">
        <f t="shared" si="14"/>
        <v>126720</v>
      </c>
      <c r="L35" s="14">
        <v>10000</v>
      </c>
      <c r="M35" s="14">
        <f t="shared" si="15"/>
        <v>12000</v>
      </c>
      <c r="N35" s="14">
        <f t="shared" si="16"/>
        <v>1000</v>
      </c>
      <c r="O35" s="14">
        <f t="shared" ref="O35:O54" si="19">I35*360</f>
        <v>5040</v>
      </c>
      <c r="P35" s="14">
        <f t="shared" si="17"/>
        <v>154760</v>
      </c>
      <c r="Q35" s="14">
        <v>25000</v>
      </c>
      <c r="R35" s="14">
        <v>8000</v>
      </c>
      <c r="S35" s="14"/>
      <c r="T35" s="14">
        <f t="shared" si="18"/>
        <v>179760</v>
      </c>
    </row>
    <row r="36" s="2" customFormat="1" ht="18" customHeight="1" spans="1:20">
      <c r="A36" s="11" t="s">
        <v>244</v>
      </c>
      <c r="B36" s="14">
        <v>3473</v>
      </c>
      <c r="C36" s="14">
        <v>2</v>
      </c>
      <c r="D36" s="14">
        <v>5</v>
      </c>
      <c r="E36" s="14">
        <f t="shared" si="13"/>
        <v>7</v>
      </c>
      <c r="F36" s="14">
        <v>1</v>
      </c>
      <c r="G36" s="14">
        <v>17</v>
      </c>
      <c r="H36" s="14">
        <v>2</v>
      </c>
      <c r="I36" s="14">
        <v>23</v>
      </c>
      <c r="J36" s="14"/>
      <c r="K36" s="14">
        <f t="shared" si="14"/>
        <v>145200</v>
      </c>
      <c r="L36" s="14">
        <v>10000</v>
      </c>
      <c r="M36" s="14">
        <f t="shared" si="15"/>
        <v>17000</v>
      </c>
      <c r="N36" s="14">
        <f t="shared" si="16"/>
        <v>1000</v>
      </c>
      <c r="O36" s="14">
        <f t="shared" si="19"/>
        <v>8280</v>
      </c>
      <c r="P36" s="14">
        <f t="shared" si="17"/>
        <v>181480</v>
      </c>
      <c r="Q36" s="14">
        <v>25000</v>
      </c>
      <c r="R36" s="14">
        <v>8000</v>
      </c>
      <c r="S36" s="14"/>
      <c r="T36" s="14">
        <f t="shared" si="18"/>
        <v>206480</v>
      </c>
    </row>
    <row r="37" s="2" customFormat="1" ht="18" customHeight="1" spans="1:20">
      <c r="A37" s="11" t="s">
        <v>245</v>
      </c>
      <c r="B37" s="14">
        <v>1709</v>
      </c>
      <c r="C37" s="14">
        <v>2</v>
      </c>
      <c r="D37" s="14">
        <v>4</v>
      </c>
      <c r="E37" s="14">
        <f t="shared" si="13"/>
        <v>6</v>
      </c>
      <c r="F37" s="14">
        <v>1</v>
      </c>
      <c r="G37" s="14">
        <v>12</v>
      </c>
      <c r="H37" s="14">
        <v>2</v>
      </c>
      <c r="I37" s="14">
        <v>13</v>
      </c>
      <c r="J37" s="14"/>
      <c r="K37" s="14">
        <f t="shared" si="14"/>
        <v>126720</v>
      </c>
      <c r="L37" s="14">
        <v>10000</v>
      </c>
      <c r="M37" s="14">
        <f t="shared" si="15"/>
        <v>12000</v>
      </c>
      <c r="N37" s="14">
        <f t="shared" si="16"/>
        <v>1000</v>
      </c>
      <c r="O37" s="14">
        <f t="shared" si="19"/>
        <v>4680</v>
      </c>
      <c r="P37" s="14">
        <f t="shared" si="17"/>
        <v>154400</v>
      </c>
      <c r="Q37" s="14">
        <v>25000</v>
      </c>
      <c r="R37" s="14">
        <v>8000</v>
      </c>
      <c r="S37" s="14"/>
      <c r="T37" s="14">
        <f t="shared" si="18"/>
        <v>179400</v>
      </c>
    </row>
    <row r="38" s="2" customFormat="1" ht="18" customHeight="1" spans="1:20">
      <c r="A38" s="11" t="s">
        <v>246</v>
      </c>
      <c r="B38" s="14">
        <v>2053</v>
      </c>
      <c r="C38" s="14">
        <v>2</v>
      </c>
      <c r="D38" s="14">
        <v>4</v>
      </c>
      <c r="E38" s="14">
        <f t="shared" si="13"/>
        <v>6</v>
      </c>
      <c r="F38" s="14">
        <v>1</v>
      </c>
      <c r="G38" s="14">
        <v>14</v>
      </c>
      <c r="H38" s="14">
        <v>2</v>
      </c>
      <c r="I38" s="14">
        <v>15</v>
      </c>
      <c r="J38" s="14"/>
      <c r="K38" s="14">
        <f t="shared" si="14"/>
        <v>126720</v>
      </c>
      <c r="L38" s="14">
        <v>10000</v>
      </c>
      <c r="M38" s="14">
        <f t="shared" si="15"/>
        <v>14000</v>
      </c>
      <c r="N38" s="14">
        <f t="shared" si="16"/>
        <v>1000</v>
      </c>
      <c r="O38" s="14">
        <f t="shared" si="19"/>
        <v>5400</v>
      </c>
      <c r="P38" s="14">
        <f t="shared" si="17"/>
        <v>157120</v>
      </c>
      <c r="Q38" s="14">
        <v>25000</v>
      </c>
      <c r="R38" s="14">
        <v>8000</v>
      </c>
      <c r="S38" s="14"/>
      <c r="T38" s="14">
        <f t="shared" si="18"/>
        <v>182120</v>
      </c>
    </row>
    <row r="39" s="2" customFormat="1" ht="18" customHeight="1" spans="1:20">
      <c r="A39" s="11" t="s">
        <v>247</v>
      </c>
      <c r="B39" s="14">
        <v>4156</v>
      </c>
      <c r="C39" s="14">
        <v>2</v>
      </c>
      <c r="D39" s="14">
        <v>4</v>
      </c>
      <c r="E39" s="14">
        <f t="shared" si="13"/>
        <v>6</v>
      </c>
      <c r="F39" s="14">
        <v>1</v>
      </c>
      <c r="G39" s="14">
        <v>10</v>
      </c>
      <c r="H39" s="14">
        <v>2</v>
      </c>
      <c r="I39" s="14">
        <v>28</v>
      </c>
      <c r="J39" s="14"/>
      <c r="K39" s="14">
        <f t="shared" si="14"/>
        <v>126720</v>
      </c>
      <c r="L39" s="14">
        <v>10000</v>
      </c>
      <c r="M39" s="14">
        <f t="shared" si="15"/>
        <v>10000</v>
      </c>
      <c r="N39" s="14">
        <f t="shared" si="16"/>
        <v>1000</v>
      </c>
      <c r="O39" s="14">
        <f t="shared" si="19"/>
        <v>10080</v>
      </c>
      <c r="P39" s="14">
        <f t="shared" si="17"/>
        <v>157800</v>
      </c>
      <c r="Q39" s="14">
        <v>25000</v>
      </c>
      <c r="R39" s="14">
        <v>8000</v>
      </c>
      <c r="S39" s="14"/>
      <c r="T39" s="14">
        <f t="shared" si="18"/>
        <v>182800</v>
      </c>
    </row>
    <row r="40" s="2" customFormat="1" ht="18" customHeight="1" spans="1:20">
      <c r="A40" s="11" t="s">
        <v>248</v>
      </c>
      <c r="B40" s="14">
        <v>2393</v>
      </c>
      <c r="C40" s="14">
        <v>2</v>
      </c>
      <c r="D40" s="14">
        <v>3</v>
      </c>
      <c r="E40" s="14">
        <f t="shared" si="13"/>
        <v>5</v>
      </c>
      <c r="F40" s="14">
        <v>1</v>
      </c>
      <c r="G40" s="14">
        <v>6</v>
      </c>
      <c r="H40" s="14">
        <v>2</v>
      </c>
      <c r="I40" s="14">
        <v>16</v>
      </c>
      <c r="J40" s="14"/>
      <c r="K40" s="14">
        <f t="shared" si="14"/>
        <v>108240</v>
      </c>
      <c r="L40" s="14">
        <v>10000</v>
      </c>
      <c r="M40" s="14">
        <f t="shared" si="15"/>
        <v>6000</v>
      </c>
      <c r="N40" s="14">
        <f t="shared" si="16"/>
        <v>1000</v>
      </c>
      <c r="O40" s="14">
        <f t="shared" si="19"/>
        <v>5760</v>
      </c>
      <c r="P40" s="14">
        <f t="shared" si="17"/>
        <v>131000</v>
      </c>
      <c r="Q40" s="14">
        <v>25000</v>
      </c>
      <c r="R40" s="14">
        <v>8000</v>
      </c>
      <c r="S40" s="14"/>
      <c r="T40" s="14">
        <f t="shared" si="18"/>
        <v>156000</v>
      </c>
    </row>
    <row r="41" s="2" customFormat="1" ht="18" customHeight="1" spans="1:20">
      <c r="A41" s="11" t="s">
        <v>249</v>
      </c>
      <c r="B41" s="14">
        <v>2180</v>
      </c>
      <c r="C41" s="14">
        <v>2</v>
      </c>
      <c r="D41" s="14">
        <v>3</v>
      </c>
      <c r="E41" s="14">
        <f t="shared" si="13"/>
        <v>5</v>
      </c>
      <c r="F41" s="14">
        <v>1</v>
      </c>
      <c r="G41" s="14">
        <v>8</v>
      </c>
      <c r="H41" s="14">
        <v>2</v>
      </c>
      <c r="I41" s="14">
        <v>15</v>
      </c>
      <c r="J41" s="14"/>
      <c r="K41" s="14">
        <f t="shared" si="14"/>
        <v>108240</v>
      </c>
      <c r="L41" s="14">
        <v>10000</v>
      </c>
      <c r="M41" s="14">
        <f t="shared" si="15"/>
        <v>8000</v>
      </c>
      <c r="N41" s="14">
        <f t="shared" si="16"/>
        <v>1000</v>
      </c>
      <c r="O41" s="14">
        <f t="shared" si="19"/>
        <v>5400</v>
      </c>
      <c r="P41" s="14">
        <f t="shared" si="17"/>
        <v>132640</v>
      </c>
      <c r="Q41" s="14">
        <v>25000</v>
      </c>
      <c r="R41" s="14">
        <v>8000</v>
      </c>
      <c r="S41" s="14"/>
      <c r="T41" s="14">
        <f t="shared" si="18"/>
        <v>157640</v>
      </c>
    </row>
    <row r="42" s="2" customFormat="1" ht="18" customHeight="1" spans="1:20">
      <c r="A42" s="11" t="s">
        <v>250</v>
      </c>
      <c r="B42" s="14">
        <v>1895</v>
      </c>
      <c r="C42" s="14">
        <v>2</v>
      </c>
      <c r="D42" s="14">
        <v>3</v>
      </c>
      <c r="E42" s="14">
        <f t="shared" si="13"/>
        <v>5</v>
      </c>
      <c r="F42" s="14">
        <v>1</v>
      </c>
      <c r="G42" s="14">
        <v>4</v>
      </c>
      <c r="H42" s="14">
        <v>2</v>
      </c>
      <c r="I42" s="14">
        <v>13</v>
      </c>
      <c r="J42" s="14"/>
      <c r="K42" s="14">
        <f t="shared" si="14"/>
        <v>108240</v>
      </c>
      <c r="L42" s="14">
        <v>10000</v>
      </c>
      <c r="M42" s="14">
        <f t="shared" si="15"/>
        <v>4000</v>
      </c>
      <c r="N42" s="14">
        <f t="shared" si="16"/>
        <v>1000</v>
      </c>
      <c r="O42" s="14">
        <f t="shared" si="19"/>
        <v>4680</v>
      </c>
      <c r="P42" s="14">
        <f t="shared" si="17"/>
        <v>127920</v>
      </c>
      <c r="Q42" s="14">
        <v>25000</v>
      </c>
      <c r="R42" s="14">
        <v>8000</v>
      </c>
      <c r="S42" s="14"/>
      <c r="T42" s="14">
        <f t="shared" si="18"/>
        <v>152920</v>
      </c>
    </row>
    <row r="43" s="2" customFormat="1" ht="18" customHeight="1" spans="1:20">
      <c r="A43" s="11" t="s">
        <v>251</v>
      </c>
      <c r="B43" s="14">
        <v>2056</v>
      </c>
      <c r="C43" s="14">
        <v>2</v>
      </c>
      <c r="D43" s="14">
        <v>3</v>
      </c>
      <c r="E43" s="14">
        <f t="shared" si="13"/>
        <v>5</v>
      </c>
      <c r="F43" s="14">
        <v>1</v>
      </c>
      <c r="G43" s="14">
        <v>4</v>
      </c>
      <c r="H43" s="14">
        <v>2</v>
      </c>
      <c r="I43" s="14">
        <v>14</v>
      </c>
      <c r="J43" s="14"/>
      <c r="K43" s="14">
        <f t="shared" si="14"/>
        <v>108240</v>
      </c>
      <c r="L43" s="14">
        <v>10000</v>
      </c>
      <c r="M43" s="14">
        <f t="shared" si="15"/>
        <v>4000</v>
      </c>
      <c r="N43" s="14">
        <f t="shared" si="16"/>
        <v>1000</v>
      </c>
      <c r="O43" s="14">
        <f t="shared" si="19"/>
        <v>5040</v>
      </c>
      <c r="P43" s="14">
        <f t="shared" si="17"/>
        <v>128280</v>
      </c>
      <c r="Q43" s="14">
        <v>25000</v>
      </c>
      <c r="R43" s="14">
        <v>8000</v>
      </c>
      <c r="S43" s="14"/>
      <c r="T43" s="14">
        <f t="shared" si="18"/>
        <v>153280</v>
      </c>
    </row>
    <row r="44" s="2" customFormat="1" ht="18" customHeight="1" spans="1:20">
      <c r="A44" s="11" t="s">
        <v>252</v>
      </c>
      <c r="B44" s="14">
        <v>1118</v>
      </c>
      <c r="C44" s="14">
        <v>2</v>
      </c>
      <c r="D44" s="14">
        <v>3</v>
      </c>
      <c r="E44" s="14">
        <f t="shared" si="13"/>
        <v>5</v>
      </c>
      <c r="F44" s="14">
        <v>1</v>
      </c>
      <c r="G44" s="14">
        <v>6</v>
      </c>
      <c r="H44" s="14">
        <v>2</v>
      </c>
      <c r="I44" s="14">
        <v>9</v>
      </c>
      <c r="J44" s="14"/>
      <c r="K44" s="14">
        <f>C44*2000*12+D44*2000*0.7*12</f>
        <v>98400</v>
      </c>
      <c r="L44" s="14">
        <v>8000</v>
      </c>
      <c r="M44" s="14">
        <f t="shared" si="15"/>
        <v>6000</v>
      </c>
      <c r="N44" s="14">
        <f t="shared" si="16"/>
        <v>1000</v>
      </c>
      <c r="O44" s="14">
        <f t="shared" si="19"/>
        <v>3240</v>
      </c>
      <c r="P44" s="14">
        <f t="shared" si="17"/>
        <v>116640</v>
      </c>
      <c r="Q44" s="14">
        <v>20000</v>
      </c>
      <c r="R44" s="14">
        <v>5000</v>
      </c>
      <c r="S44" s="14"/>
      <c r="T44" s="14">
        <f t="shared" si="18"/>
        <v>136640</v>
      </c>
    </row>
    <row r="45" s="2" customFormat="1" ht="18" customHeight="1" spans="1:20">
      <c r="A45" s="11" t="s">
        <v>253</v>
      </c>
      <c r="B45" s="14">
        <v>1754</v>
      </c>
      <c r="C45" s="14">
        <v>2</v>
      </c>
      <c r="D45" s="14">
        <v>3</v>
      </c>
      <c r="E45" s="14">
        <f t="shared" si="13"/>
        <v>5</v>
      </c>
      <c r="F45" s="14">
        <v>1</v>
      </c>
      <c r="G45" s="14">
        <v>6</v>
      </c>
      <c r="H45" s="14">
        <v>2</v>
      </c>
      <c r="I45" s="14">
        <v>13</v>
      </c>
      <c r="J45" s="14"/>
      <c r="K45" s="14">
        <f t="shared" ref="K45:K50" si="20">C45*2200*12+D45*2200*0.7*12</f>
        <v>108240</v>
      </c>
      <c r="L45" s="14">
        <v>10000</v>
      </c>
      <c r="M45" s="14">
        <f t="shared" si="15"/>
        <v>6000</v>
      </c>
      <c r="N45" s="14">
        <f t="shared" si="16"/>
        <v>1000</v>
      </c>
      <c r="O45" s="14">
        <f t="shared" si="19"/>
        <v>4680</v>
      </c>
      <c r="P45" s="14">
        <f t="shared" si="17"/>
        <v>129920</v>
      </c>
      <c r="Q45" s="14">
        <v>25000</v>
      </c>
      <c r="R45" s="14">
        <v>8000</v>
      </c>
      <c r="S45" s="14"/>
      <c r="T45" s="14">
        <f t="shared" si="18"/>
        <v>154920</v>
      </c>
    </row>
    <row r="46" s="2" customFormat="1" ht="18" customHeight="1" spans="1:20">
      <c r="A46" s="11" t="s">
        <v>254</v>
      </c>
      <c r="B46" s="14">
        <v>1485</v>
      </c>
      <c r="C46" s="14">
        <v>2</v>
      </c>
      <c r="D46" s="14">
        <v>3</v>
      </c>
      <c r="E46" s="14">
        <f t="shared" si="13"/>
        <v>5</v>
      </c>
      <c r="F46" s="14">
        <v>1</v>
      </c>
      <c r="G46" s="14">
        <v>10</v>
      </c>
      <c r="H46" s="14">
        <v>2</v>
      </c>
      <c r="I46" s="14">
        <v>11</v>
      </c>
      <c r="J46" s="14"/>
      <c r="K46" s="14">
        <f>C46*2000*12+D46*2000*0.7*12</f>
        <v>98400</v>
      </c>
      <c r="L46" s="14">
        <v>8000</v>
      </c>
      <c r="M46" s="14">
        <f t="shared" si="15"/>
        <v>10000</v>
      </c>
      <c r="N46" s="14">
        <f t="shared" si="16"/>
        <v>1000</v>
      </c>
      <c r="O46" s="14">
        <f t="shared" si="19"/>
        <v>3960</v>
      </c>
      <c r="P46" s="14">
        <f t="shared" si="17"/>
        <v>121360</v>
      </c>
      <c r="Q46" s="14">
        <v>20000</v>
      </c>
      <c r="R46" s="14">
        <v>5000</v>
      </c>
      <c r="S46" s="14"/>
      <c r="T46" s="14">
        <f t="shared" si="18"/>
        <v>141360</v>
      </c>
    </row>
    <row r="47" s="2" customFormat="1" ht="18" customHeight="1" spans="1:20">
      <c r="A47" s="11" t="s">
        <v>255</v>
      </c>
      <c r="B47" s="14">
        <v>1402</v>
      </c>
      <c r="C47" s="14">
        <v>2</v>
      </c>
      <c r="D47" s="14">
        <v>3</v>
      </c>
      <c r="E47" s="14">
        <f t="shared" si="13"/>
        <v>5</v>
      </c>
      <c r="F47" s="14">
        <v>1</v>
      </c>
      <c r="G47" s="14">
        <v>14</v>
      </c>
      <c r="H47" s="14">
        <v>2</v>
      </c>
      <c r="I47" s="14">
        <v>14</v>
      </c>
      <c r="J47" s="14"/>
      <c r="K47" s="14">
        <f>C47*2000*12+D47*2000*0.7*12</f>
        <v>98400</v>
      </c>
      <c r="L47" s="14">
        <v>8000</v>
      </c>
      <c r="M47" s="14">
        <f t="shared" si="15"/>
        <v>14000</v>
      </c>
      <c r="N47" s="14">
        <f t="shared" si="16"/>
        <v>1000</v>
      </c>
      <c r="O47" s="14">
        <f t="shared" si="19"/>
        <v>5040</v>
      </c>
      <c r="P47" s="14">
        <f t="shared" si="17"/>
        <v>126440</v>
      </c>
      <c r="Q47" s="14">
        <v>20000</v>
      </c>
      <c r="R47" s="14">
        <v>5000</v>
      </c>
      <c r="S47" s="14"/>
      <c r="T47" s="14">
        <f t="shared" si="18"/>
        <v>146440</v>
      </c>
    </row>
    <row r="48" s="2" customFormat="1" ht="18" customHeight="1" spans="1:20">
      <c r="A48" s="11" t="s">
        <v>256</v>
      </c>
      <c r="B48" s="14">
        <v>2474</v>
      </c>
      <c r="C48" s="14">
        <v>2</v>
      </c>
      <c r="D48" s="14">
        <v>3</v>
      </c>
      <c r="E48" s="14">
        <f t="shared" si="13"/>
        <v>5</v>
      </c>
      <c r="F48" s="14">
        <v>1</v>
      </c>
      <c r="G48" s="14">
        <v>9</v>
      </c>
      <c r="H48" s="14">
        <v>2</v>
      </c>
      <c r="I48" s="14">
        <v>16</v>
      </c>
      <c r="J48" s="14"/>
      <c r="K48" s="14">
        <f t="shared" si="20"/>
        <v>108240</v>
      </c>
      <c r="L48" s="14">
        <v>10000</v>
      </c>
      <c r="M48" s="14">
        <f t="shared" si="15"/>
        <v>9000</v>
      </c>
      <c r="N48" s="14">
        <f t="shared" si="16"/>
        <v>1000</v>
      </c>
      <c r="O48" s="14">
        <f t="shared" si="19"/>
        <v>5760</v>
      </c>
      <c r="P48" s="14">
        <f t="shared" si="17"/>
        <v>134000</v>
      </c>
      <c r="Q48" s="14">
        <v>25000</v>
      </c>
      <c r="R48" s="14">
        <v>8000</v>
      </c>
      <c r="S48" s="14"/>
      <c r="T48" s="14">
        <f t="shared" si="18"/>
        <v>159000</v>
      </c>
    </row>
    <row r="49" s="2" customFormat="1" ht="18" customHeight="1" spans="1:20">
      <c r="A49" s="11" t="s">
        <v>257</v>
      </c>
      <c r="B49" s="14">
        <v>3561</v>
      </c>
      <c r="C49" s="14">
        <v>2</v>
      </c>
      <c r="D49" s="14">
        <v>4</v>
      </c>
      <c r="E49" s="14">
        <f t="shared" si="13"/>
        <v>6</v>
      </c>
      <c r="F49" s="14">
        <v>1</v>
      </c>
      <c r="G49" s="14">
        <v>12</v>
      </c>
      <c r="H49" s="14">
        <v>2</v>
      </c>
      <c r="I49" s="14">
        <v>26</v>
      </c>
      <c r="J49" s="14"/>
      <c r="K49" s="14">
        <f t="shared" si="20"/>
        <v>126720</v>
      </c>
      <c r="L49" s="14">
        <v>10000</v>
      </c>
      <c r="M49" s="14">
        <f t="shared" si="15"/>
        <v>12000</v>
      </c>
      <c r="N49" s="14">
        <f t="shared" si="16"/>
        <v>1000</v>
      </c>
      <c r="O49" s="14">
        <f t="shared" si="19"/>
        <v>9360</v>
      </c>
      <c r="P49" s="14">
        <f t="shared" si="17"/>
        <v>159080</v>
      </c>
      <c r="Q49" s="14">
        <v>25000</v>
      </c>
      <c r="R49" s="14">
        <v>8000</v>
      </c>
      <c r="S49" s="14"/>
      <c r="T49" s="14">
        <f t="shared" si="18"/>
        <v>184080</v>
      </c>
    </row>
    <row r="50" s="2" customFormat="1" ht="18" customHeight="1" spans="1:20">
      <c r="A50" s="11" t="s">
        <v>258</v>
      </c>
      <c r="B50" s="14">
        <v>2014</v>
      </c>
      <c r="C50" s="14">
        <v>2</v>
      </c>
      <c r="D50" s="14">
        <v>3</v>
      </c>
      <c r="E50" s="14">
        <f t="shared" si="13"/>
        <v>5</v>
      </c>
      <c r="F50" s="14">
        <v>1</v>
      </c>
      <c r="G50" s="14">
        <v>7</v>
      </c>
      <c r="H50" s="14">
        <v>2</v>
      </c>
      <c r="I50" s="14">
        <v>14</v>
      </c>
      <c r="J50" s="14"/>
      <c r="K50" s="14">
        <f t="shared" si="20"/>
        <v>108240</v>
      </c>
      <c r="L50" s="14">
        <v>10000</v>
      </c>
      <c r="M50" s="14">
        <f t="shared" si="15"/>
        <v>7000</v>
      </c>
      <c r="N50" s="14">
        <f t="shared" si="16"/>
        <v>1000</v>
      </c>
      <c r="O50" s="14">
        <f t="shared" si="19"/>
        <v>5040</v>
      </c>
      <c r="P50" s="14">
        <f t="shared" si="17"/>
        <v>131280</v>
      </c>
      <c r="Q50" s="14">
        <v>25000</v>
      </c>
      <c r="R50" s="14">
        <v>8000</v>
      </c>
      <c r="S50" s="14"/>
      <c r="T50" s="14">
        <f t="shared" si="18"/>
        <v>156280</v>
      </c>
    </row>
    <row r="51" s="2" customFormat="1" ht="18" customHeight="1" spans="1:20">
      <c r="A51" s="11" t="s">
        <v>259</v>
      </c>
      <c r="B51" s="14">
        <v>1293</v>
      </c>
      <c r="C51" s="14">
        <v>2</v>
      </c>
      <c r="D51" s="14">
        <v>3</v>
      </c>
      <c r="E51" s="14">
        <f t="shared" si="13"/>
        <v>5</v>
      </c>
      <c r="F51" s="14">
        <v>1</v>
      </c>
      <c r="G51" s="14">
        <v>8</v>
      </c>
      <c r="H51" s="14">
        <v>2</v>
      </c>
      <c r="I51" s="14">
        <v>11</v>
      </c>
      <c r="J51" s="14"/>
      <c r="K51" s="14">
        <f>C51*2000*12+D51*2000*0.7*12</f>
        <v>98400</v>
      </c>
      <c r="L51" s="14">
        <v>8000</v>
      </c>
      <c r="M51" s="14">
        <f t="shared" si="15"/>
        <v>8000</v>
      </c>
      <c r="N51" s="14">
        <f t="shared" si="16"/>
        <v>1000</v>
      </c>
      <c r="O51" s="14">
        <f t="shared" si="19"/>
        <v>3960</v>
      </c>
      <c r="P51" s="14">
        <f t="shared" si="17"/>
        <v>119360</v>
      </c>
      <c r="Q51" s="14">
        <v>20000</v>
      </c>
      <c r="R51" s="14">
        <v>5000</v>
      </c>
      <c r="S51" s="14"/>
      <c r="T51" s="14">
        <f t="shared" si="18"/>
        <v>139360</v>
      </c>
    </row>
    <row r="52" s="2" customFormat="1" ht="18" customHeight="1" spans="1:20">
      <c r="A52" s="11" t="s">
        <v>260</v>
      </c>
      <c r="B52" s="14">
        <v>3320</v>
      </c>
      <c r="C52" s="14">
        <v>2</v>
      </c>
      <c r="D52" s="14">
        <v>4</v>
      </c>
      <c r="E52" s="14">
        <f t="shared" si="13"/>
        <v>6</v>
      </c>
      <c r="F52" s="14">
        <v>1</v>
      </c>
      <c r="G52" s="14">
        <v>16</v>
      </c>
      <c r="H52" s="14">
        <v>2</v>
      </c>
      <c r="I52" s="14">
        <v>23</v>
      </c>
      <c r="J52" s="14"/>
      <c r="K52" s="14">
        <f>C52*2200*12+D52*2200*0.7*12</f>
        <v>126720</v>
      </c>
      <c r="L52" s="14">
        <v>10000</v>
      </c>
      <c r="M52" s="14">
        <f t="shared" si="15"/>
        <v>16000</v>
      </c>
      <c r="N52" s="14">
        <f t="shared" si="16"/>
        <v>1000</v>
      </c>
      <c r="O52" s="14">
        <f t="shared" si="19"/>
        <v>8280</v>
      </c>
      <c r="P52" s="14">
        <f t="shared" si="17"/>
        <v>162000</v>
      </c>
      <c r="Q52" s="14">
        <v>25000</v>
      </c>
      <c r="R52" s="14">
        <v>8000</v>
      </c>
      <c r="S52" s="14"/>
      <c r="T52" s="14">
        <f t="shared" si="18"/>
        <v>187000</v>
      </c>
    </row>
    <row r="53" s="2" customFormat="1" ht="18" customHeight="1" spans="1:20">
      <c r="A53" s="11" t="s">
        <v>261</v>
      </c>
      <c r="B53" s="14">
        <v>1384</v>
      </c>
      <c r="C53" s="14">
        <v>2</v>
      </c>
      <c r="D53" s="14">
        <v>3</v>
      </c>
      <c r="E53" s="14">
        <f t="shared" si="13"/>
        <v>5</v>
      </c>
      <c r="F53" s="14">
        <v>1</v>
      </c>
      <c r="G53" s="14">
        <v>5</v>
      </c>
      <c r="H53" s="14">
        <v>2</v>
      </c>
      <c r="I53" s="14">
        <v>10</v>
      </c>
      <c r="J53" s="14"/>
      <c r="K53" s="14">
        <f>C53*2000*12+D53*2000*0.7*12</f>
        <v>98400</v>
      </c>
      <c r="L53" s="14">
        <v>8000</v>
      </c>
      <c r="M53" s="14">
        <f t="shared" si="15"/>
        <v>5000</v>
      </c>
      <c r="N53" s="14">
        <f t="shared" si="16"/>
        <v>1000</v>
      </c>
      <c r="O53" s="14">
        <f t="shared" si="19"/>
        <v>3600</v>
      </c>
      <c r="P53" s="14">
        <f t="shared" si="17"/>
        <v>116000</v>
      </c>
      <c r="Q53" s="14">
        <v>20000</v>
      </c>
      <c r="R53" s="14">
        <v>5000</v>
      </c>
      <c r="S53" s="14"/>
      <c r="T53" s="14">
        <f t="shared" si="18"/>
        <v>136000</v>
      </c>
    </row>
    <row r="54" s="2" customFormat="1" ht="18" customHeight="1" spans="1:20">
      <c r="A54" s="11" t="s">
        <v>262</v>
      </c>
      <c r="B54" s="14">
        <v>2100</v>
      </c>
      <c r="C54" s="14">
        <v>2</v>
      </c>
      <c r="D54" s="14">
        <v>4</v>
      </c>
      <c r="E54" s="14">
        <f t="shared" si="13"/>
        <v>6</v>
      </c>
      <c r="F54" s="14">
        <v>1</v>
      </c>
      <c r="G54" s="14"/>
      <c r="H54" s="14">
        <v>1</v>
      </c>
      <c r="I54" s="14">
        <v>16</v>
      </c>
      <c r="J54" s="14"/>
      <c r="K54" s="14">
        <f>C54*2500*12+2*2000*12+2*1500*12</f>
        <v>144000</v>
      </c>
      <c r="L54" s="14">
        <v>10000</v>
      </c>
      <c r="M54" s="14">
        <f>G54*800</f>
        <v>0</v>
      </c>
      <c r="N54" s="14">
        <f t="shared" si="16"/>
        <v>500</v>
      </c>
      <c r="O54" s="14">
        <f t="shared" si="19"/>
        <v>5760</v>
      </c>
      <c r="P54" s="14">
        <f t="shared" si="17"/>
        <v>160260</v>
      </c>
      <c r="Q54" s="14">
        <v>30000</v>
      </c>
      <c r="R54" s="14">
        <v>10000</v>
      </c>
      <c r="S54" s="14">
        <v>50000</v>
      </c>
      <c r="T54" s="14">
        <f t="shared" si="18"/>
        <v>240260</v>
      </c>
    </row>
    <row r="55" s="3" customFormat="1" ht="18" customHeight="1" spans="1:20">
      <c r="A55" s="12" t="s">
        <v>263</v>
      </c>
      <c r="B55" s="13">
        <f t="shared" ref="B55:J55" si="21">B56+B57+B58+B59+B60+B61+B62+B63+B64+B65+B66+B67+B68+B69+B70+B71+B72+B73+B74</f>
        <v>35780</v>
      </c>
      <c r="C55" s="13">
        <f t="shared" si="21"/>
        <v>38</v>
      </c>
      <c r="D55" s="13">
        <f t="shared" si="21"/>
        <v>64</v>
      </c>
      <c r="E55" s="13">
        <f t="shared" si="21"/>
        <v>102</v>
      </c>
      <c r="F55" s="13">
        <f t="shared" si="21"/>
        <v>19</v>
      </c>
      <c r="G55" s="13">
        <f t="shared" si="21"/>
        <v>179</v>
      </c>
      <c r="H55" s="13">
        <f t="shared" si="21"/>
        <v>38</v>
      </c>
      <c r="I55" s="13">
        <f t="shared" si="21"/>
        <v>260</v>
      </c>
      <c r="J55" s="13">
        <f t="shared" si="21"/>
        <v>84</v>
      </c>
      <c r="K55" s="13">
        <f>SUM(K56:K74)</f>
        <v>2138400</v>
      </c>
      <c r="L55" s="13">
        <f t="shared" ref="L55:T55" si="22">SUM(L56:L74)</f>
        <v>180000</v>
      </c>
      <c r="M55" s="13">
        <f t="shared" si="22"/>
        <v>179000</v>
      </c>
      <c r="N55" s="13">
        <f t="shared" si="22"/>
        <v>19000</v>
      </c>
      <c r="O55" s="13">
        <f t="shared" si="22"/>
        <v>93600</v>
      </c>
      <c r="P55" s="13">
        <f t="shared" si="22"/>
        <v>2610000</v>
      </c>
      <c r="Q55" s="13">
        <f t="shared" si="22"/>
        <v>450000</v>
      </c>
      <c r="R55" s="13">
        <f t="shared" si="22"/>
        <v>137000</v>
      </c>
      <c r="S55" s="13">
        <f t="shared" si="22"/>
        <v>0</v>
      </c>
      <c r="T55" s="13">
        <f t="shared" si="22"/>
        <v>3060000</v>
      </c>
    </row>
    <row r="56" s="2" customFormat="1" ht="18" customHeight="1" spans="1:20">
      <c r="A56" s="11" t="s">
        <v>264</v>
      </c>
      <c r="B56" s="14">
        <v>1984</v>
      </c>
      <c r="C56" s="14">
        <v>2</v>
      </c>
      <c r="D56" s="14">
        <v>4</v>
      </c>
      <c r="E56" s="14">
        <f t="shared" ref="E56:E74" si="23">SUM(C56:D56)</f>
        <v>6</v>
      </c>
      <c r="F56" s="14">
        <v>1</v>
      </c>
      <c r="G56" s="14">
        <v>15</v>
      </c>
      <c r="H56" s="14">
        <v>2</v>
      </c>
      <c r="I56" s="14">
        <v>18</v>
      </c>
      <c r="J56" s="14">
        <v>84</v>
      </c>
      <c r="K56" s="14">
        <f t="shared" ref="K56:K62" si="24">C56*2200*12+D56*2200*0.7*12</f>
        <v>126720</v>
      </c>
      <c r="L56" s="14">
        <v>10000</v>
      </c>
      <c r="M56" s="14">
        <f t="shared" ref="M56:M74" si="25">G56*1000</f>
        <v>15000</v>
      </c>
      <c r="N56" s="14">
        <f t="shared" ref="N56:N74" si="26">H56*500</f>
        <v>1000</v>
      </c>
      <c r="O56" s="14">
        <f>I56*360</f>
        <v>6480</v>
      </c>
      <c r="P56" s="14">
        <f t="shared" ref="P56:P74" si="27">SUM(K56:O56)</f>
        <v>159200</v>
      </c>
      <c r="Q56" s="14">
        <v>25000</v>
      </c>
      <c r="R56" s="14">
        <v>8000</v>
      </c>
      <c r="S56" s="14"/>
      <c r="T56" s="14">
        <f>P56+Q56+S56</f>
        <v>184200</v>
      </c>
    </row>
    <row r="57" s="2" customFormat="1" ht="18" customHeight="1" spans="1:20">
      <c r="A57" s="11" t="s">
        <v>265</v>
      </c>
      <c r="B57" s="14">
        <v>2144</v>
      </c>
      <c r="C57" s="14">
        <v>2</v>
      </c>
      <c r="D57" s="14">
        <v>4</v>
      </c>
      <c r="E57" s="14">
        <f t="shared" si="23"/>
        <v>6</v>
      </c>
      <c r="F57" s="14">
        <v>1</v>
      </c>
      <c r="G57" s="14">
        <v>16</v>
      </c>
      <c r="H57" s="14">
        <v>2</v>
      </c>
      <c r="I57" s="14">
        <v>16</v>
      </c>
      <c r="J57" s="14"/>
      <c r="K57" s="14">
        <f t="shared" si="24"/>
        <v>126720</v>
      </c>
      <c r="L57" s="14">
        <v>10000</v>
      </c>
      <c r="M57" s="14">
        <f t="shared" si="25"/>
        <v>16000</v>
      </c>
      <c r="N57" s="14">
        <f t="shared" si="26"/>
        <v>1000</v>
      </c>
      <c r="O57" s="14">
        <f t="shared" ref="O57:O74" si="28">I57*360</f>
        <v>5760</v>
      </c>
      <c r="P57" s="14">
        <f t="shared" si="27"/>
        <v>159480</v>
      </c>
      <c r="Q57" s="14">
        <v>25000</v>
      </c>
      <c r="R57" s="14">
        <v>8000</v>
      </c>
      <c r="S57" s="14"/>
      <c r="T57" s="14">
        <f t="shared" ref="T57:T74" si="29">P57+Q57+S57</f>
        <v>184480</v>
      </c>
    </row>
    <row r="58" s="2" customFormat="1" ht="18" customHeight="1" spans="1:20">
      <c r="A58" s="11" t="s">
        <v>266</v>
      </c>
      <c r="B58" s="14">
        <v>2621</v>
      </c>
      <c r="C58" s="14">
        <v>2</v>
      </c>
      <c r="D58" s="14">
        <v>5</v>
      </c>
      <c r="E58" s="14">
        <f t="shared" si="23"/>
        <v>7</v>
      </c>
      <c r="F58" s="14">
        <v>1</v>
      </c>
      <c r="G58" s="14">
        <v>13</v>
      </c>
      <c r="H58" s="14">
        <v>2</v>
      </c>
      <c r="I58" s="14">
        <v>17</v>
      </c>
      <c r="J58" s="14"/>
      <c r="K58" s="14">
        <f t="shared" si="24"/>
        <v>145200</v>
      </c>
      <c r="L58" s="14">
        <v>10000</v>
      </c>
      <c r="M58" s="14">
        <f t="shared" si="25"/>
        <v>13000</v>
      </c>
      <c r="N58" s="14">
        <f t="shared" si="26"/>
        <v>1000</v>
      </c>
      <c r="O58" s="14">
        <f t="shared" si="28"/>
        <v>6120</v>
      </c>
      <c r="P58" s="14">
        <f t="shared" si="27"/>
        <v>175320</v>
      </c>
      <c r="Q58" s="14">
        <v>25000</v>
      </c>
      <c r="R58" s="14">
        <v>8000</v>
      </c>
      <c r="S58" s="14"/>
      <c r="T58" s="14">
        <f t="shared" si="29"/>
        <v>200320</v>
      </c>
    </row>
    <row r="59" s="2" customFormat="1" ht="18" customHeight="1" spans="1:20">
      <c r="A59" s="11" t="s">
        <v>267</v>
      </c>
      <c r="B59" s="14">
        <v>1954</v>
      </c>
      <c r="C59" s="14">
        <v>2</v>
      </c>
      <c r="D59" s="14">
        <v>4</v>
      </c>
      <c r="E59" s="14">
        <f t="shared" si="23"/>
        <v>6</v>
      </c>
      <c r="F59" s="14">
        <v>1</v>
      </c>
      <c r="G59" s="14">
        <v>11</v>
      </c>
      <c r="H59" s="14">
        <v>2</v>
      </c>
      <c r="I59" s="14">
        <v>15</v>
      </c>
      <c r="J59" s="14"/>
      <c r="K59" s="14">
        <f t="shared" si="24"/>
        <v>126720</v>
      </c>
      <c r="L59" s="14">
        <v>10000</v>
      </c>
      <c r="M59" s="14">
        <f t="shared" si="25"/>
        <v>11000</v>
      </c>
      <c r="N59" s="14">
        <f t="shared" si="26"/>
        <v>1000</v>
      </c>
      <c r="O59" s="14">
        <f t="shared" si="28"/>
        <v>5400</v>
      </c>
      <c r="P59" s="14">
        <f t="shared" si="27"/>
        <v>154120</v>
      </c>
      <c r="Q59" s="14">
        <v>25000</v>
      </c>
      <c r="R59" s="14">
        <v>8000</v>
      </c>
      <c r="S59" s="14"/>
      <c r="T59" s="14">
        <f t="shared" si="29"/>
        <v>179120</v>
      </c>
    </row>
    <row r="60" s="2" customFormat="1" ht="18" customHeight="1" spans="1:20">
      <c r="A60" s="11" t="s">
        <v>268</v>
      </c>
      <c r="B60" s="14">
        <v>2175</v>
      </c>
      <c r="C60" s="14">
        <v>2</v>
      </c>
      <c r="D60" s="14">
        <v>4</v>
      </c>
      <c r="E60" s="14">
        <f t="shared" si="23"/>
        <v>6</v>
      </c>
      <c r="F60" s="14">
        <v>1</v>
      </c>
      <c r="G60" s="14">
        <v>12</v>
      </c>
      <c r="H60" s="14">
        <v>2</v>
      </c>
      <c r="I60" s="14">
        <v>15</v>
      </c>
      <c r="J60" s="14"/>
      <c r="K60" s="14">
        <f t="shared" si="24"/>
        <v>126720</v>
      </c>
      <c r="L60" s="14">
        <v>10000</v>
      </c>
      <c r="M60" s="14">
        <f t="shared" si="25"/>
        <v>12000</v>
      </c>
      <c r="N60" s="14">
        <f t="shared" si="26"/>
        <v>1000</v>
      </c>
      <c r="O60" s="14">
        <f t="shared" si="28"/>
        <v>5400</v>
      </c>
      <c r="P60" s="14">
        <f t="shared" si="27"/>
        <v>155120</v>
      </c>
      <c r="Q60" s="14">
        <v>25000</v>
      </c>
      <c r="R60" s="14">
        <v>8000</v>
      </c>
      <c r="S60" s="14"/>
      <c r="T60" s="14">
        <f t="shared" si="29"/>
        <v>180120</v>
      </c>
    </row>
    <row r="61" s="2" customFormat="1" ht="18" customHeight="1" spans="1:20">
      <c r="A61" s="11" t="s">
        <v>269</v>
      </c>
      <c r="B61" s="14">
        <v>4129</v>
      </c>
      <c r="C61" s="14">
        <v>2</v>
      </c>
      <c r="D61" s="14">
        <v>4</v>
      </c>
      <c r="E61" s="14">
        <f t="shared" si="23"/>
        <v>6</v>
      </c>
      <c r="F61" s="14">
        <v>1</v>
      </c>
      <c r="G61" s="14">
        <v>17</v>
      </c>
      <c r="H61" s="14">
        <v>2</v>
      </c>
      <c r="I61" s="14">
        <v>27</v>
      </c>
      <c r="J61" s="14"/>
      <c r="K61" s="14">
        <f t="shared" si="24"/>
        <v>126720</v>
      </c>
      <c r="L61" s="14">
        <v>10000</v>
      </c>
      <c r="M61" s="14">
        <f t="shared" si="25"/>
        <v>17000</v>
      </c>
      <c r="N61" s="14">
        <f t="shared" si="26"/>
        <v>1000</v>
      </c>
      <c r="O61" s="14">
        <f t="shared" si="28"/>
        <v>9720</v>
      </c>
      <c r="P61" s="14">
        <f t="shared" si="27"/>
        <v>164440</v>
      </c>
      <c r="Q61" s="14">
        <v>25000</v>
      </c>
      <c r="R61" s="14">
        <v>8000</v>
      </c>
      <c r="S61" s="14"/>
      <c r="T61" s="14">
        <f t="shared" si="29"/>
        <v>189440</v>
      </c>
    </row>
    <row r="62" s="2" customFormat="1" ht="18" customHeight="1" spans="1:20">
      <c r="A62" s="11" t="s">
        <v>270</v>
      </c>
      <c r="B62" s="14">
        <v>2045</v>
      </c>
      <c r="C62" s="14">
        <v>2</v>
      </c>
      <c r="D62" s="14">
        <v>3</v>
      </c>
      <c r="E62" s="14">
        <f t="shared" si="23"/>
        <v>5</v>
      </c>
      <c r="F62" s="14">
        <v>1</v>
      </c>
      <c r="G62" s="14">
        <v>10</v>
      </c>
      <c r="H62" s="14">
        <v>2</v>
      </c>
      <c r="I62" s="14">
        <v>16</v>
      </c>
      <c r="J62" s="14"/>
      <c r="K62" s="14">
        <f t="shared" si="24"/>
        <v>108240</v>
      </c>
      <c r="L62" s="14">
        <v>10000</v>
      </c>
      <c r="M62" s="14">
        <f t="shared" si="25"/>
        <v>10000</v>
      </c>
      <c r="N62" s="14">
        <f t="shared" si="26"/>
        <v>1000</v>
      </c>
      <c r="O62" s="14">
        <f t="shared" si="28"/>
        <v>5760</v>
      </c>
      <c r="P62" s="14">
        <f t="shared" si="27"/>
        <v>135000</v>
      </c>
      <c r="Q62" s="14">
        <v>25000</v>
      </c>
      <c r="R62" s="14">
        <v>8000</v>
      </c>
      <c r="S62" s="14"/>
      <c r="T62" s="14">
        <f t="shared" si="29"/>
        <v>160000</v>
      </c>
    </row>
    <row r="63" s="2" customFormat="1" ht="18" customHeight="1" spans="1:20">
      <c r="A63" s="11" t="s">
        <v>271</v>
      </c>
      <c r="B63" s="14">
        <v>968</v>
      </c>
      <c r="C63" s="14">
        <v>2</v>
      </c>
      <c r="D63" s="14">
        <v>2</v>
      </c>
      <c r="E63" s="14">
        <f t="shared" si="23"/>
        <v>4</v>
      </c>
      <c r="F63" s="14">
        <v>1</v>
      </c>
      <c r="G63" s="14">
        <v>5</v>
      </c>
      <c r="H63" s="14">
        <v>2</v>
      </c>
      <c r="I63" s="14">
        <v>5</v>
      </c>
      <c r="J63" s="14"/>
      <c r="K63" s="14">
        <f>C63*2000*12+D63*2000*0.7*12</f>
        <v>81600</v>
      </c>
      <c r="L63" s="14">
        <v>8000</v>
      </c>
      <c r="M63" s="14">
        <f t="shared" si="25"/>
        <v>5000</v>
      </c>
      <c r="N63" s="14">
        <f t="shared" si="26"/>
        <v>1000</v>
      </c>
      <c r="O63" s="14">
        <f t="shared" si="28"/>
        <v>1800</v>
      </c>
      <c r="P63" s="14">
        <f t="shared" si="27"/>
        <v>97400</v>
      </c>
      <c r="Q63" s="14">
        <v>20000</v>
      </c>
      <c r="R63" s="14">
        <v>5000</v>
      </c>
      <c r="S63" s="14"/>
      <c r="T63" s="14">
        <f t="shared" si="29"/>
        <v>117400</v>
      </c>
    </row>
    <row r="64" s="2" customFormat="1" ht="18" customHeight="1" spans="1:20">
      <c r="A64" s="11" t="s">
        <v>272</v>
      </c>
      <c r="B64" s="14">
        <v>2142</v>
      </c>
      <c r="C64" s="14">
        <v>2</v>
      </c>
      <c r="D64" s="14">
        <v>3</v>
      </c>
      <c r="E64" s="14">
        <f t="shared" si="23"/>
        <v>5</v>
      </c>
      <c r="F64" s="14">
        <v>1</v>
      </c>
      <c r="G64" s="14">
        <v>13</v>
      </c>
      <c r="H64" s="14">
        <v>2</v>
      </c>
      <c r="I64" s="14">
        <v>17</v>
      </c>
      <c r="J64" s="14"/>
      <c r="K64" s="14">
        <f>C64*2200*12+D64*2200*0.7*12</f>
        <v>108240</v>
      </c>
      <c r="L64" s="14">
        <v>10000</v>
      </c>
      <c r="M64" s="14">
        <f t="shared" si="25"/>
        <v>13000</v>
      </c>
      <c r="N64" s="14">
        <f t="shared" si="26"/>
        <v>1000</v>
      </c>
      <c r="O64" s="14">
        <f t="shared" si="28"/>
        <v>6120</v>
      </c>
      <c r="P64" s="14">
        <f t="shared" si="27"/>
        <v>138360</v>
      </c>
      <c r="Q64" s="14">
        <v>25000</v>
      </c>
      <c r="R64" s="14">
        <v>8000</v>
      </c>
      <c r="S64" s="14"/>
      <c r="T64" s="14">
        <f t="shared" si="29"/>
        <v>163360</v>
      </c>
    </row>
    <row r="65" s="2" customFormat="1" ht="18" customHeight="1" spans="1:20">
      <c r="A65" s="11" t="s">
        <v>273</v>
      </c>
      <c r="B65" s="14">
        <v>1800</v>
      </c>
      <c r="C65" s="14">
        <v>2</v>
      </c>
      <c r="D65" s="14">
        <v>3</v>
      </c>
      <c r="E65" s="14">
        <f t="shared" si="23"/>
        <v>5</v>
      </c>
      <c r="F65" s="14">
        <v>1</v>
      </c>
      <c r="G65" s="14">
        <v>9</v>
      </c>
      <c r="H65" s="14">
        <v>2</v>
      </c>
      <c r="I65" s="14">
        <v>14</v>
      </c>
      <c r="J65" s="14"/>
      <c r="K65" s="14">
        <f>C65*2200*12+D65*2200*0.7*12</f>
        <v>108240</v>
      </c>
      <c r="L65" s="14">
        <v>10000</v>
      </c>
      <c r="M65" s="14">
        <f t="shared" si="25"/>
        <v>9000</v>
      </c>
      <c r="N65" s="14">
        <f t="shared" si="26"/>
        <v>1000</v>
      </c>
      <c r="O65" s="14">
        <f t="shared" si="28"/>
        <v>5040</v>
      </c>
      <c r="P65" s="14">
        <f t="shared" si="27"/>
        <v>133280</v>
      </c>
      <c r="Q65" s="14">
        <v>25000</v>
      </c>
      <c r="R65" s="14">
        <v>8000</v>
      </c>
      <c r="S65" s="14"/>
      <c r="T65" s="14">
        <f t="shared" si="29"/>
        <v>158280</v>
      </c>
    </row>
    <row r="66" s="2" customFormat="1" ht="18" customHeight="1" spans="1:20">
      <c r="A66" s="11" t="s">
        <v>274</v>
      </c>
      <c r="B66" s="14">
        <v>1335</v>
      </c>
      <c r="C66" s="14">
        <v>2</v>
      </c>
      <c r="D66" s="14">
        <v>3</v>
      </c>
      <c r="E66" s="14">
        <f t="shared" si="23"/>
        <v>5</v>
      </c>
      <c r="F66" s="14">
        <v>1</v>
      </c>
      <c r="G66" s="14">
        <v>7</v>
      </c>
      <c r="H66" s="14">
        <v>2</v>
      </c>
      <c r="I66" s="14">
        <v>9</v>
      </c>
      <c r="J66" s="14"/>
      <c r="K66" s="14">
        <f>C66*2000*12+D66*2000*0.7*12</f>
        <v>98400</v>
      </c>
      <c r="L66" s="14">
        <v>8000</v>
      </c>
      <c r="M66" s="14">
        <f t="shared" si="25"/>
        <v>7000</v>
      </c>
      <c r="N66" s="14">
        <f t="shared" si="26"/>
        <v>1000</v>
      </c>
      <c r="O66" s="14">
        <f t="shared" si="28"/>
        <v>3240</v>
      </c>
      <c r="P66" s="14">
        <f t="shared" si="27"/>
        <v>117640</v>
      </c>
      <c r="Q66" s="14">
        <v>20000</v>
      </c>
      <c r="R66" s="14">
        <v>5000</v>
      </c>
      <c r="S66" s="14"/>
      <c r="T66" s="14">
        <f t="shared" si="29"/>
        <v>137640</v>
      </c>
    </row>
    <row r="67" s="2" customFormat="1" ht="18" customHeight="1" spans="1:20">
      <c r="A67" s="11" t="s">
        <v>275</v>
      </c>
      <c r="B67" s="14">
        <v>1820</v>
      </c>
      <c r="C67" s="14">
        <v>2</v>
      </c>
      <c r="D67" s="14">
        <v>3</v>
      </c>
      <c r="E67" s="14">
        <f t="shared" si="23"/>
        <v>5</v>
      </c>
      <c r="F67" s="14">
        <v>1</v>
      </c>
      <c r="G67" s="14">
        <v>9</v>
      </c>
      <c r="H67" s="14">
        <v>2</v>
      </c>
      <c r="I67" s="14">
        <v>14</v>
      </c>
      <c r="J67" s="14"/>
      <c r="K67" s="14">
        <f>C67*2200*12+D67*2200*0.7*12</f>
        <v>108240</v>
      </c>
      <c r="L67" s="14">
        <v>10000</v>
      </c>
      <c r="M67" s="14">
        <f t="shared" si="25"/>
        <v>9000</v>
      </c>
      <c r="N67" s="14">
        <f t="shared" si="26"/>
        <v>1000</v>
      </c>
      <c r="O67" s="14">
        <f t="shared" si="28"/>
        <v>5040</v>
      </c>
      <c r="P67" s="14">
        <f t="shared" si="27"/>
        <v>133280</v>
      </c>
      <c r="Q67" s="14">
        <v>25000</v>
      </c>
      <c r="R67" s="14">
        <v>8000</v>
      </c>
      <c r="S67" s="14"/>
      <c r="T67" s="14">
        <f t="shared" si="29"/>
        <v>158280</v>
      </c>
    </row>
    <row r="68" s="2" customFormat="1" ht="18" customHeight="1" spans="1:20">
      <c r="A68" s="11" t="s">
        <v>276</v>
      </c>
      <c r="B68" s="14">
        <v>1608</v>
      </c>
      <c r="C68" s="14">
        <v>2</v>
      </c>
      <c r="D68" s="14">
        <v>3</v>
      </c>
      <c r="E68" s="14">
        <f t="shared" si="23"/>
        <v>5</v>
      </c>
      <c r="F68" s="14">
        <v>1</v>
      </c>
      <c r="G68" s="14">
        <v>11</v>
      </c>
      <c r="H68" s="14">
        <v>2</v>
      </c>
      <c r="I68" s="14">
        <v>14</v>
      </c>
      <c r="J68" s="14"/>
      <c r="K68" s="14">
        <f>C68*2200*12+D68*2200*0.7*12</f>
        <v>108240</v>
      </c>
      <c r="L68" s="14">
        <v>10000</v>
      </c>
      <c r="M68" s="14">
        <f t="shared" si="25"/>
        <v>11000</v>
      </c>
      <c r="N68" s="14">
        <f t="shared" si="26"/>
        <v>1000</v>
      </c>
      <c r="O68" s="14">
        <f t="shared" si="28"/>
        <v>5040</v>
      </c>
      <c r="P68" s="14">
        <f t="shared" si="27"/>
        <v>135280</v>
      </c>
      <c r="Q68" s="14">
        <v>25000</v>
      </c>
      <c r="R68" s="14">
        <v>8000</v>
      </c>
      <c r="S68" s="14"/>
      <c r="T68" s="14">
        <f t="shared" si="29"/>
        <v>160280</v>
      </c>
    </row>
    <row r="69" s="2" customFormat="1" ht="18" customHeight="1" spans="1:20">
      <c r="A69" s="11" t="s">
        <v>277</v>
      </c>
      <c r="B69" s="14">
        <v>1106</v>
      </c>
      <c r="C69" s="14">
        <v>2</v>
      </c>
      <c r="D69" s="14">
        <v>3</v>
      </c>
      <c r="E69" s="14">
        <f t="shared" si="23"/>
        <v>5</v>
      </c>
      <c r="F69" s="14">
        <v>1</v>
      </c>
      <c r="G69" s="14">
        <v>6</v>
      </c>
      <c r="H69" s="14">
        <v>2</v>
      </c>
      <c r="I69" s="14">
        <v>10</v>
      </c>
      <c r="J69" s="14"/>
      <c r="K69" s="14">
        <f t="shared" ref="K69:K74" si="30">C69*2000*12+D69*2000*0.7*12</f>
        <v>98400</v>
      </c>
      <c r="L69" s="14">
        <v>8000</v>
      </c>
      <c r="M69" s="14">
        <f t="shared" si="25"/>
        <v>6000</v>
      </c>
      <c r="N69" s="14">
        <f t="shared" si="26"/>
        <v>1000</v>
      </c>
      <c r="O69" s="14">
        <f t="shared" si="28"/>
        <v>3600</v>
      </c>
      <c r="P69" s="14">
        <f t="shared" si="27"/>
        <v>117000</v>
      </c>
      <c r="Q69" s="14">
        <v>20000</v>
      </c>
      <c r="R69" s="14">
        <v>5000</v>
      </c>
      <c r="S69" s="14"/>
      <c r="T69" s="14">
        <f t="shared" si="29"/>
        <v>137000</v>
      </c>
    </row>
    <row r="70" s="2" customFormat="1" ht="18" customHeight="1" spans="1:20">
      <c r="A70" s="11" t="s">
        <v>278</v>
      </c>
      <c r="B70" s="14">
        <v>1729</v>
      </c>
      <c r="C70" s="14">
        <v>2</v>
      </c>
      <c r="D70" s="14">
        <v>3</v>
      </c>
      <c r="E70" s="14">
        <f t="shared" si="23"/>
        <v>5</v>
      </c>
      <c r="F70" s="14">
        <v>1</v>
      </c>
      <c r="G70" s="14">
        <v>10</v>
      </c>
      <c r="H70" s="14">
        <v>2</v>
      </c>
      <c r="I70" s="14">
        <v>12</v>
      </c>
      <c r="J70" s="14"/>
      <c r="K70" s="14">
        <f>C70*2200*12+D70*2200*0.7*12</f>
        <v>108240</v>
      </c>
      <c r="L70" s="14">
        <v>10000</v>
      </c>
      <c r="M70" s="14">
        <f t="shared" si="25"/>
        <v>10000</v>
      </c>
      <c r="N70" s="14">
        <f t="shared" si="26"/>
        <v>1000</v>
      </c>
      <c r="O70" s="14">
        <f t="shared" si="28"/>
        <v>4320</v>
      </c>
      <c r="P70" s="14">
        <f t="shared" si="27"/>
        <v>133560</v>
      </c>
      <c r="Q70" s="14">
        <v>25000</v>
      </c>
      <c r="R70" s="14">
        <v>8000</v>
      </c>
      <c r="S70" s="14"/>
      <c r="T70" s="14">
        <f t="shared" si="29"/>
        <v>158560</v>
      </c>
    </row>
    <row r="71" s="2" customFormat="1" ht="18" customHeight="1" spans="1:20">
      <c r="A71" s="11" t="s">
        <v>279</v>
      </c>
      <c r="B71" s="14">
        <v>1896</v>
      </c>
      <c r="C71" s="14">
        <v>2</v>
      </c>
      <c r="D71" s="14">
        <v>4</v>
      </c>
      <c r="E71" s="14">
        <f t="shared" si="23"/>
        <v>6</v>
      </c>
      <c r="F71" s="14">
        <v>1</v>
      </c>
      <c r="G71" s="14">
        <v>5</v>
      </c>
      <c r="H71" s="14">
        <v>2</v>
      </c>
      <c r="I71" s="14">
        <v>12</v>
      </c>
      <c r="J71" s="14"/>
      <c r="K71" s="14">
        <f>C71*2200*12+D71*2200*0.7*12</f>
        <v>126720</v>
      </c>
      <c r="L71" s="14">
        <v>10000</v>
      </c>
      <c r="M71" s="14">
        <f t="shared" si="25"/>
        <v>5000</v>
      </c>
      <c r="N71" s="14">
        <f t="shared" si="26"/>
        <v>1000</v>
      </c>
      <c r="O71" s="14">
        <f t="shared" si="28"/>
        <v>4320</v>
      </c>
      <c r="P71" s="14">
        <f t="shared" si="27"/>
        <v>147040</v>
      </c>
      <c r="Q71" s="14">
        <v>25000</v>
      </c>
      <c r="R71" s="14">
        <v>8000</v>
      </c>
      <c r="S71" s="14"/>
      <c r="T71" s="14">
        <f t="shared" si="29"/>
        <v>172040</v>
      </c>
    </row>
    <row r="72" s="2" customFormat="1" ht="18" customHeight="1" spans="1:20">
      <c r="A72" s="11" t="s">
        <v>280</v>
      </c>
      <c r="B72" s="14">
        <v>1222</v>
      </c>
      <c r="C72" s="14">
        <v>2</v>
      </c>
      <c r="D72" s="14">
        <v>3</v>
      </c>
      <c r="E72" s="14">
        <f t="shared" si="23"/>
        <v>5</v>
      </c>
      <c r="F72" s="14">
        <v>1</v>
      </c>
      <c r="G72" s="14">
        <v>2</v>
      </c>
      <c r="H72" s="14">
        <v>2</v>
      </c>
      <c r="I72" s="14">
        <v>8</v>
      </c>
      <c r="J72" s="14"/>
      <c r="K72" s="14">
        <f t="shared" si="30"/>
        <v>98400</v>
      </c>
      <c r="L72" s="14">
        <v>8000</v>
      </c>
      <c r="M72" s="14">
        <f t="shared" si="25"/>
        <v>2000</v>
      </c>
      <c r="N72" s="14">
        <f t="shared" si="26"/>
        <v>1000</v>
      </c>
      <c r="O72" s="14">
        <f t="shared" si="28"/>
        <v>2880</v>
      </c>
      <c r="P72" s="14">
        <f t="shared" si="27"/>
        <v>112280</v>
      </c>
      <c r="Q72" s="14">
        <v>20000</v>
      </c>
      <c r="R72" s="14">
        <v>5000</v>
      </c>
      <c r="S72" s="14"/>
      <c r="T72" s="14">
        <f t="shared" si="29"/>
        <v>132280</v>
      </c>
    </row>
    <row r="73" s="2" customFormat="1" ht="18" customHeight="1" spans="1:20">
      <c r="A73" s="11" t="s">
        <v>281</v>
      </c>
      <c r="B73" s="14">
        <v>1654</v>
      </c>
      <c r="C73" s="14">
        <v>2</v>
      </c>
      <c r="D73" s="14">
        <v>3</v>
      </c>
      <c r="E73" s="14">
        <f t="shared" si="23"/>
        <v>5</v>
      </c>
      <c r="F73" s="14">
        <v>1</v>
      </c>
      <c r="G73" s="14">
        <v>4</v>
      </c>
      <c r="H73" s="14">
        <v>2</v>
      </c>
      <c r="I73" s="14">
        <v>11</v>
      </c>
      <c r="J73" s="14"/>
      <c r="K73" s="14">
        <f>C73*2200*12+D73*2200*0.7*12</f>
        <v>108240</v>
      </c>
      <c r="L73" s="14">
        <v>10000</v>
      </c>
      <c r="M73" s="14">
        <f t="shared" si="25"/>
        <v>4000</v>
      </c>
      <c r="N73" s="14">
        <f t="shared" si="26"/>
        <v>1000</v>
      </c>
      <c r="O73" s="14">
        <f t="shared" si="28"/>
        <v>3960</v>
      </c>
      <c r="P73" s="14">
        <f t="shared" si="27"/>
        <v>127200</v>
      </c>
      <c r="Q73" s="14">
        <v>25000</v>
      </c>
      <c r="R73" s="14">
        <v>8000</v>
      </c>
      <c r="S73" s="14"/>
      <c r="T73" s="14">
        <f t="shared" si="29"/>
        <v>152200</v>
      </c>
    </row>
    <row r="74" s="2" customFormat="1" ht="18" customHeight="1" spans="1:20">
      <c r="A74" s="11" t="s">
        <v>282</v>
      </c>
      <c r="B74" s="14">
        <v>1448</v>
      </c>
      <c r="C74" s="14">
        <v>2</v>
      </c>
      <c r="D74" s="14">
        <v>3</v>
      </c>
      <c r="E74" s="14">
        <f t="shared" si="23"/>
        <v>5</v>
      </c>
      <c r="F74" s="14">
        <v>1</v>
      </c>
      <c r="G74" s="14">
        <v>4</v>
      </c>
      <c r="H74" s="14">
        <v>2</v>
      </c>
      <c r="I74" s="14">
        <v>10</v>
      </c>
      <c r="J74" s="14"/>
      <c r="K74" s="14">
        <f t="shared" si="30"/>
        <v>98400</v>
      </c>
      <c r="L74" s="14">
        <v>8000</v>
      </c>
      <c r="M74" s="14">
        <f t="shared" si="25"/>
        <v>4000</v>
      </c>
      <c r="N74" s="14">
        <f t="shared" si="26"/>
        <v>1000</v>
      </c>
      <c r="O74" s="14">
        <f t="shared" si="28"/>
        <v>3600</v>
      </c>
      <c r="P74" s="14">
        <f t="shared" si="27"/>
        <v>115000</v>
      </c>
      <c r="Q74" s="14">
        <v>20000</v>
      </c>
      <c r="R74" s="14">
        <v>5000</v>
      </c>
      <c r="S74" s="14"/>
      <c r="T74" s="14">
        <f t="shared" si="29"/>
        <v>135000</v>
      </c>
    </row>
    <row r="75" s="3" customFormat="1" ht="18" customHeight="1" spans="1:20">
      <c r="A75" s="12" t="s">
        <v>283</v>
      </c>
      <c r="B75" s="13">
        <f t="shared" ref="B75:J75" si="31">B76+B77+B78+B79+B80+B81+B82+B83+B84+B85+B86+B87+B88</f>
        <v>29028</v>
      </c>
      <c r="C75" s="13">
        <f t="shared" si="31"/>
        <v>26</v>
      </c>
      <c r="D75" s="13">
        <f t="shared" si="31"/>
        <v>45</v>
      </c>
      <c r="E75" s="13">
        <f t="shared" si="31"/>
        <v>71</v>
      </c>
      <c r="F75" s="13">
        <f t="shared" si="31"/>
        <v>13</v>
      </c>
      <c r="G75" s="13">
        <f t="shared" si="31"/>
        <v>139</v>
      </c>
      <c r="H75" s="13">
        <f t="shared" si="31"/>
        <v>25</v>
      </c>
      <c r="I75" s="13">
        <f t="shared" si="31"/>
        <v>215</v>
      </c>
      <c r="J75" s="13">
        <f t="shared" si="31"/>
        <v>76</v>
      </c>
      <c r="K75" s="13">
        <f>SUM(K76:K88)</f>
        <v>1494240</v>
      </c>
      <c r="L75" s="13">
        <f t="shared" ref="L75:T75" si="32">SUM(L76:L88)</f>
        <v>122000</v>
      </c>
      <c r="M75" s="13">
        <f t="shared" si="32"/>
        <v>139000</v>
      </c>
      <c r="N75" s="13">
        <f t="shared" si="32"/>
        <v>12500</v>
      </c>
      <c r="O75" s="13">
        <f t="shared" si="32"/>
        <v>77400</v>
      </c>
      <c r="P75" s="13">
        <f t="shared" si="32"/>
        <v>1845140</v>
      </c>
      <c r="Q75" s="13">
        <f t="shared" si="32"/>
        <v>310000</v>
      </c>
      <c r="R75" s="13">
        <f t="shared" si="32"/>
        <v>94000</v>
      </c>
      <c r="S75" s="13">
        <f t="shared" si="32"/>
        <v>50000</v>
      </c>
      <c r="T75" s="13">
        <f t="shared" si="32"/>
        <v>2205140</v>
      </c>
    </row>
    <row r="76" s="2" customFormat="1" ht="18" customHeight="1" spans="1:20">
      <c r="A76" s="11" t="s">
        <v>284</v>
      </c>
      <c r="B76" s="14">
        <v>1314</v>
      </c>
      <c r="C76" s="14">
        <v>2</v>
      </c>
      <c r="D76" s="14">
        <v>4</v>
      </c>
      <c r="E76" s="14">
        <f t="shared" ref="E76:E88" si="33">SUM(C76:D76)</f>
        <v>6</v>
      </c>
      <c r="F76" s="14">
        <v>1</v>
      </c>
      <c r="G76" s="14">
        <v>17</v>
      </c>
      <c r="H76" s="14">
        <v>2</v>
      </c>
      <c r="I76" s="14">
        <v>17</v>
      </c>
      <c r="J76" s="14">
        <v>76</v>
      </c>
      <c r="K76" s="14">
        <f>C76*2000*12+D76*2000*0.7*12</f>
        <v>115200</v>
      </c>
      <c r="L76" s="14">
        <v>8000</v>
      </c>
      <c r="M76" s="14">
        <f t="shared" ref="M76:M87" si="34">G76*1000</f>
        <v>17000</v>
      </c>
      <c r="N76" s="14">
        <f t="shared" ref="N76:N88" si="35">H76*500</f>
        <v>1000</v>
      </c>
      <c r="O76" s="14">
        <f>I76*360</f>
        <v>6120</v>
      </c>
      <c r="P76" s="14">
        <f t="shared" ref="P76:P88" si="36">SUM(K76:O76)</f>
        <v>147320</v>
      </c>
      <c r="Q76" s="14">
        <v>20000</v>
      </c>
      <c r="R76" s="14">
        <v>5000</v>
      </c>
      <c r="S76" s="14"/>
      <c r="T76" s="14">
        <f t="shared" ref="T76:T88" si="37">P76+Q76+S76</f>
        <v>167320</v>
      </c>
    </row>
    <row r="77" s="2" customFormat="1" ht="18" customHeight="1" spans="1:20">
      <c r="A77" s="11" t="s">
        <v>285</v>
      </c>
      <c r="B77" s="14">
        <v>1180</v>
      </c>
      <c r="C77" s="14">
        <v>2</v>
      </c>
      <c r="D77" s="14">
        <v>3</v>
      </c>
      <c r="E77" s="14">
        <f t="shared" si="33"/>
        <v>5</v>
      </c>
      <c r="F77" s="14">
        <v>1</v>
      </c>
      <c r="G77" s="14">
        <v>8</v>
      </c>
      <c r="H77" s="14">
        <v>2</v>
      </c>
      <c r="I77" s="14">
        <v>8</v>
      </c>
      <c r="J77" s="14"/>
      <c r="K77" s="14">
        <f>C77*2000*12+D77*2000*0.7*12</f>
        <v>98400</v>
      </c>
      <c r="L77" s="14">
        <v>8000</v>
      </c>
      <c r="M77" s="14">
        <f t="shared" si="34"/>
        <v>8000</v>
      </c>
      <c r="N77" s="14">
        <f t="shared" si="35"/>
        <v>1000</v>
      </c>
      <c r="O77" s="14">
        <f t="shared" ref="O77:O88" si="38">I77*360</f>
        <v>2880</v>
      </c>
      <c r="P77" s="14">
        <f t="shared" si="36"/>
        <v>118280</v>
      </c>
      <c r="Q77" s="14">
        <v>20000</v>
      </c>
      <c r="R77" s="14">
        <v>5000</v>
      </c>
      <c r="S77" s="14"/>
      <c r="T77" s="14">
        <f t="shared" si="37"/>
        <v>138280</v>
      </c>
    </row>
    <row r="78" s="2" customFormat="1" ht="18" customHeight="1" spans="1:20">
      <c r="A78" s="11" t="s">
        <v>286</v>
      </c>
      <c r="B78" s="14">
        <v>2434</v>
      </c>
      <c r="C78" s="14">
        <v>2</v>
      </c>
      <c r="D78" s="14">
        <v>3</v>
      </c>
      <c r="E78" s="14">
        <f t="shared" si="33"/>
        <v>5</v>
      </c>
      <c r="F78" s="14">
        <v>1</v>
      </c>
      <c r="G78" s="14">
        <v>9</v>
      </c>
      <c r="H78" s="14">
        <v>2</v>
      </c>
      <c r="I78" s="14">
        <v>15</v>
      </c>
      <c r="J78" s="14"/>
      <c r="K78" s="14">
        <f t="shared" ref="K78:K85" si="39">C78*2200*12+D78*2200*0.7*12</f>
        <v>108240</v>
      </c>
      <c r="L78" s="14">
        <v>10000</v>
      </c>
      <c r="M78" s="14">
        <f t="shared" si="34"/>
        <v>9000</v>
      </c>
      <c r="N78" s="14">
        <f t="shared" si="35"/>
        <v>1000</v>
      </c>
      <c r="O78" s="14">
        <f t="shared" si="38"/>
        <v>5400</v>
      </c>
      <c r="P78" s="14">
        <f t="shared" si="36"/>
        <v>133640</v>
      </c>
      <c r="Q78" s="14">
        <v>25000</v>
      </c>
      <c r="R78" s="14">
        <v>8000</v>
      </c>
      <c r="S78" s="14"/>
      <c r="T78" s="14">
        <f t="shared" si="37"/>
        <v>158640</v>
      </c>
    </row>
    <row r="79" s="2" customFormat="1" ht="18" customHeight="1" spans="1:20">
      <c r="A79" s="11" t="s">
        <v>287</v>
      </c>
      <c r="B79" s="14">
        <v>3644</v>
      </c>
      <c r="C79" s="14">
        <v>2</v>
      </c>
      <c r="D79" s="14">
        <v>4</v>
      </c>
      <c r="E79" s="14">
        <f t="shared" si="33"/>
        <v>6</v>
      </c>
      <c r="F79" s="14">
        <v>1</v>
      </c>
      <c r="G79" s="14">
        <v>20</v>
      </c>
      <c r="H79" s="14">
        <v>2</v>
      </c>
      <c r="I79" s="14">
        <v>24</v>
      </c>
      <c r="J79" s="14"/>
      <c r="K79" s="14">
        <f t="shared" si="39"/>
        <v>126720</v>
      </c>
      <c r="L79" s="14">
        <v>10000</v>
      </c>
      <c r="M79" s="14">
        <f t="shared" si="34"/>
        <v>20000</v>
      </c>
      <c r="N79" s="14">
        <f t="shared" si="35"/>
        <v>1000</v>
      </c>
      <c r="O79" s="14">
        <f t="shared" si="38"/>
        <v>8640</v>
      </c>
      <c r="P79" s="14">
        <f t="shared" si="36"/>
        <v>166360</v>
      </c>
      <c r="Q79" s="14">
        <v>25000</v>
      </c>
      <c r="R79" s="14">
        <v>8000</v>
      </c>
      <c r="S79" s="14"/>
      <c r="T79" s="14">
        <f t="shared" si="37"/>
        <v>191360</v>
      </c>
    </row>
    <row r="80" s="2" customFormat="1" ht="18" customHeight="1" spans="1:20">
      <c r="A80" s="11" t="s">
        <v>288</v>
      </c>
      <c r="B80" s="14">
        <v>1228</v>
      </c>
      <c r="C80" s="14">
        <v>2</v>
      </c>
      <c r="D80" s="14">
        <v>3</v>
      </c>
      <c r="E80" s="14">
        <f t="shared" si="33"/>
        <v>5</v>
      </c>
      <c r="F80" s="14">
        <v>1</v>
      </c>
      <c r="G80" s="14">
        <v>9</v>
      </c>
      <c r="H80" s="14">
        <v>2</v>
      </c>
      <c r="I80" s="14">
        <v>11</v>
      </c>
      <c r="J80" s="14"/>
      <c r="K80" s="14">
        <f>C80*2000*12+D80*2000*0.7*12</f>
        <v>98400</v>
      </c>
      <c r="L80" s="14">
        <v>8000</v>
      </c>
      <c r="M80" s="14">
        <f t="shared" si="34"/>
        <v>9000</v>
      </c>
      <c r="N80" s="14">
        <f t="shared" si="35"/>
        <v>1000</v>
      </c>
      <c r="O80" s="14">
        <f t="shared" si="38"/>
        <v>3960</v>
      </c>
      <c r="P80" s="14">
        <f t="shared" si="36"/>
        <v>120360</v>
      </c>
      <c r="Q80" s="14">
        <v>20000</v>
      </c>
      <c r="R80" s="14">
        <v>5000</v>
      </c>
      <c r="S80" s="14"/>
      <c r="T80" s="14">
        <f t="shared" si="37"/>
        <v>140360</v>
      </c>
    </row>
    <row r="81" s="2" customFormat="1" ht="18" customHeight="1" spans="1:20">
      <c r="A81" s="11" t="s">
        <v>289</v>
      </c>
      <c r="B81" s="14">
        <v>2606</v>
      </c>
      <c r="C81" s="14">
        <v>2</v>
      </c>
      <c r="D81" s="14">
        <v>4</v>
      </c>
      <c r="E81" s="14">
        <f t="shared" si="33"/>
        <v>6</v>
      </c>
      <c r="F81" s="14">
        <v>1</v>
      </c>
      <c r="G81" s="14">
        <v>11</v>
      </c>
      <c r="H81" s="14">
        <v>2</v>
      </c>
      <c r="I81" s="14">
        <v>19</v>
      </c>
      <c r="J81" s="14"/>
      <c r="K81" s="14">
        <f t="shared" si="39"/>
        <v>126720</v>
      </c>
      <c r="L81" s="14">
        <v>10000</v>
      </c>
      <c r="M81" s="14">
        <f t="shared" si="34"/>
        <v>11000</v>
      </c>
      <c r="N81" s="14">
        <f t="shared" si="35"/>
        <v>1000</v>
      </c>
      <c r="O81" s="14">
        <f t="shared" si="38"/>
        <v>6840</v>
      </c>
      <c r="P81" s="14">
        <f t="shared" si="36"/>
        <v>155560</v>
      </c>
      <c r="Q81" s="14">
        <v>25000</v>
      </c>
      <c r="R81" s="14">
        <v>8000</v>
      </c>
      <c r="S81" s="14"/>
      <c r="T81" s="14">
        <f t="shared" si="37"/>
        <v>180560</v>
      </c>
    </row>
    <row r="82" s="2" customFormat="1" ht="18" customHeight="1" spans="1:20">
      <c r="A82" s="11" t="s">
        <v>290</v>
      </c>
      <c r="B82" s="14">
        <v>2479</v>
      </c>
      <c r="C82" s="14">
        <v>2</v>
      </c>
      <c r="D82" s="14">
        <v>3</v>
      </c>
      <c r="E82" s="14">
        <f t="shared" si="33"/>
        <v>5</v>
      </c>
      <c r="F82" s="14">
        <v>1</v>
      </c>
      <c r="G82" s="14">
        <v>12</v>
      </c>
      <c r="H82" s="14">
        <v>2</v>
      </c>
      <c r="I82" s="14">
        <v>17</v>
      </c>
      <c r="J82" s="14"/>
      <c r="K82" s="14">
        <f t="shared" si="39"/>
        <v>108240</v>
      </c>
      <c r="L82" s="14">
        <v>10000</v>
      </c>
      <c r="M82" s="14">
        <f t="shared" si="34"/>
        <v>12000</v>
      </c>
      <c r="N82" s="14">
        <f t="shared" si="35"/>
        <v>1000</v>
      </c>
      <c r="O82" s="14">
        <f t="shared" si="38"/>
        <v>6120</v>
      </c>
      <c r="P82" s="14">
        <f t="shared" si="36"/>
        <v>137360</v>
      </c>
      <c r="Q82" s="14">
        <v>25000</v>
      </c>
      <c r="R82" s="14">
        <v>8000</v>
      </c>
      <c r="S82" s="14"/>
      <c r="T82" s="14">
        <f t="shared" si="37"/>
        <v>162360</v>
      </c>
    </row>
    <row r="83" s="2" customFormat="1" ht="18" customHeight="1" spans="1:20">
      <c r="A83" s="11" t="s">
        <v>291</v>
      </c>
      <c r="B83" s="14">
        <v>2109</v>
      </c>
      <c r="C83" s="14">
        <v>2</v>
      </c>
      <c r="D83" s="14">
        <v>3</v>
      </c>
      <c r="E83" s="14">
        <f t="shared" si="33"/>
        <v>5</v>
      </c>
      <c r="F83" s="14">
        <v>1</v>
      </c>
      <c r="G83" s="14">
        <v>11</v>
      </c>
      <c r="H83" s="14">
        <v>2</v>
      </c>
      <c r="I83" s="14">
        <v>16</v>
      </c>
      <c r="J83" s="14"/>
      <c r="K83" s="14">
        <f t="shared" si="39"/>
        <v>108240</v>
      </c>
      <c r="L83" s="14">
        <v>10000</v>
      </c>
      <c r="M83" s="14">
        <f t="shared" si="34"/>
        <v>11000</v>
      </c>
      <c r="N83" s="14">
        <f t="shared" si="35"/>
        <v>1000</v>
      </c>
      <c r="O83" s="14">
        <f t="shared" si="38"/>
        <v>5760</v>
      </c>
      <c r="P83" s="14">
        <f t="shared" si="36"/>
        <v>136000</v>
      </c>
      <c r="Q83" s="14">
        <v>25000</v>
      </c>
      <c r="R83" s="14">
        <v>8000</v>
      </c>
      <c r="S83" s="14"/>
      <c r="T83" s="14">
        <f t="shared" si="37"/>
        <v>161000</v>
      </c>
    </row>
    <row r="84" s="2" customFormat="1" ht="18" customHeight="1" spans="1:20">
      <c r="A84" s="11" t="s">
        <v>292</v>
      </c>
      <c r="B84" s="14">
        <v>2367</v>
      </c>
      <c r="C84" s="14">
        <v>2</v>
      </c>
      <c r="D84" s="14">
        <v>3</v>
      </c>
      <c r="E84" s="14">
        <f t="shared" si="33"/>
        <v>5</v>
      </c>
      <c r="F84" s="14">
        <v>1</v>
      </c>
      <c r="G84" s="14">
        <v>12</v>
      </c>
      <c r="H84" s="14">
        <v>2</v>
      </c>
      <c r="I84" s="14">
        <v>17</v>
      </c>
      <c r="J84" s="14"/>
      <c r="K84" s="14">
        <f t="shared" si="39"/>
        <v>108240</v>
      </c>
      <c r="L84" s="14">
        <v>10000</v>
      </c>
      <c r="M84" s="14">
        <f t="shared" si="34"/>
        <v>12000</v>
      </c>
      <c r="N84" s="14">
        <f t="shared" si="35"/>
        <v>1000</v>
      </c>
      <c r="O84" s="14">
        <f t="shared" si="38"/>
        <v>6120</v>
      </c>
      <c r="P84" s="14">
        <f t="shared" si="36"/>
        <v>137360</v>
      </c>
      <c r="Q84" s="14">
        <v>25000</v>
      </c>
      <c r="R84" s="14">
        <v>8000</v>
      </c>
      <c r="S84" s="14"/>
      <c r="T84" s="14">
        <f t="shared" si="37"/>
        <v>162360</v>
      </c>
    </row>
    <row r="85" s="2" customFormat="1" ht="18" customHeight="1" spans="1:20">
      <c r="A85" s="11" t="s">
        <v>293</v>
      </c>
      <c r="B85" s="14">
        <v>3869</v>
      </c>
      <c r="C85" s="14">
        <v>2</v>
      </c>
      <c r="D85" s="14">
        <v>4</v>
      </c>
      <c r="E85" s="14">
        <f t="shared" si="33"/>
        <v>6</v>
      </c>
      <c r="F85" s="14">
        <v>1</v>
      </c>
      <c r="G85" s="14">
        <v>15</v>
      </c>
      <c r="H85" s="14">
        <v>2</v>
      </c>
      <c r="I85" s="14">
        <v>28</v>
      </c>
      <c r="J85" s="14"/>
      <c r="K85" s="14">
        <f t="shared" si="39"/>
        <v>126720</v>
      </c>
      <c r="L85" s="14">
        <v>10000</v>
      </c>
      <c r="M85" s="14">
        <f t="shared" si="34"/>
        <v>15000</v>
      </c>
      <c r="N85" s="14">
        <f t="shared" si="35"/>
        <v>1000</v>
      </c>
      <c r="O85" s="14">
        <f t="shared" si="38"/>
        <v>10080</v>
      </c>
      <c r="P85" s="14">
        <f t="shared" si="36"/>
        <v>162800</v>
      </c>
      <c r="Q85" s="14">
        <v>25000</v>
      </c>
      <c r="R85" s="14">
        <v>8000</v>
      </c>
      <c r="S85" s="14"/>
      <c r="T85" s="14">
        <f t="shared" si="37"/>
        <v>187800</v>
      </c>
    </row>
    <row r="86" s="2" customFormat="1" ht="18" customHeight="1" spans="1:20">
      <c r="A86" s="11" t="s">
        <v>294</v>
      </c>
      <c r="B86" s="14">
        <v>1108</v>
      </c>
      <c r="C86" s="14">
        <v>2</v>
      </c>
      <c r="D86" s="14">
        <v>3</v>
      </c>
      <c r="E86" s="14">
        <f t="shared" si="33"/>
        <v>5</v>
      </c>
      <c r="F86" s="14">
        <v>1</v>
      </c>
      <c r="G86" s="14">
        <v>8</v>
      </c>
      <c r="H86" s="14">
        <v>2</v>
      </c>
      <c r="I86" s="14">
        <v>9</v>
      </c>
      <c r="J86" s="14"/>
      <c r="K86" s="14">
        <f>C86*2000*12+D86*2000*0.7*12</f>
        <v>98400</v>
      </c>
      <c r="L86" s="14">
        <v>8000</v>
      </c>
      <c r="M86" s="14">
        <f t="shared" si="34"/>
        <v>8000</v>
      </c>
      <c r="N86" s="14">
        <f t="shared" si="35"/>
        <v>1000</v>
      </c>
      <c r="O86" s="14">
        <f t="shared" si="38"/>
        <v>3240</v>
      </c>
      <c r="P86" s="14">
        <f t="shared" si="36"/>
        <v>118640</v>
      </c>
      <c r="Q86" s="14">
        <v>20000</v>
      </c>
      <c r="R86" s="14">
        <v>5000</v>
      </c>
      <c r="S86" s="14"/>
      <c r="T86" s="14">
        <f t="shared" si="37"/>
        <v>138640</v>
      </c>
    </row>
    <row r="87" s="2" customFormat="1" ht="18" customHeight="1" spans="1:20">
      <c r="A87" s="11" t="s">
        <v>295</v>
      </c>
      <c r="B87" s="14">
        <v>2890</v>
      </c>
      <c r="C87" s="14">
        <v>2</v>
      </c>
      <c r="D87" s="14">
        <v>4</v>
      </c>
      <c r="E87" s="14">
        <f t="shared" si="33"/>
        <v>6</v>
      </c>
      <c r="F87" s="14">
        <v>1</v>
      </c>
      <c r="G87" s="14">
        <v>7</v>
      </c>
      <c r="H87" s="14">
        <v>2</v>
      </c>
      <c r="I87" s="14">
        <v>12</v>
      </c>
      <c r="J87" s="14"/>
      <c r="K87" s="14">
        <f t="shared" ref="K87:K95" si="40">C87*2200*12+D87*2200*0.7*12</f>
        <v>126720</v>
      </c>
      <c r="L87" s="14">
        <v>10000</v>
      </c>
      <c r="M87" s="14">
        <f t="shared" si="34"/>
        <v>7000</v>
      </c>
      <c r="N87" s="14">
        <f t="shared" si="35"/>
        <v>1000</v>
      </c>
      <c r="O87" s="14">
        <f t="shared" si="38"/>
        <v>4320</v>
      </c>
      <c r="P87" s="14">
        <f t="shared" si="36"/>
        <v>149040</v>
      </c>
      <c r="Q87" s="14">
        <v>25000</v>
      </c>
      <c r="R87" s="14">
        <v>8000</v>
      </c>
      <c r="S87" s="14"/>
      <c r="T87" s="14">
        <f t="shared" si="37"/>
        <v>174040</v>
      </c>
    </row>
    <row r="88" s="2" customFormat="1" ht="18" customHeight="1" spans="1:20">
      <c r="A88" s="11" t="s">
        <v>262</v>
      </c>
      <c r="B88" s="14">
        <v>1800</v>
      </c>
      <c r="C88" s="14">
        <v>2</v>
      </c>
      <c r="D88" s="14">
        <v>4</v>
      </c>
      <c r="E88" s="14">
        <f t="shared" si="33"/>
        <v>6</v>
      </c>
      <c r="F88" s="14">
        <v>1</v>
      </c>
      <c r="G88" s="14"/>
      <c r="H88" s="14">
        <v>1</v>
      </c>
      <c r="I88" s="14">
        <v>22</v>
      </c>
      <c r="J88" s="14"/>
      <c r="K88" s="14">
        <f>C88*2500*12+2*2000*12+2*1500*12</f>
        <v>144000</v>
      </c>
      <c r="L88" s="14">
        <v>10000</v>
      </c>
      <c r="M88" s="14">
        <f>G88*800</f>
        <v>0</v>
      </c>
      <c r="N88" s="14">
        <f t="shared" si="35"/>
        <v>500</v>
      </c>
      <c r="O88" s="14">
        <f t="shared" si="38"/>
        <v>7920</v>
      </c>
      <c r="P88" s="14">
        <f t="shared" si="36"/>
        <v>162420</v>
      </c>
      <c r="Q88" s="14">
        <v>30000</v>
      </c>
      <c r="R88" s="14">
        <v>10000</v>
      </c>
      <c r="S88" s="14">
        <v>50000</v>
      </c>
      <c r="T88" s="14">
        <f t="shared" si="37"/>
        <v>242420</v>
      </c>
    </row>
    <row r="89" s="3" customFormat="1" ht="18" customHeight="1" spans="1:20">
      <c r="A89" s="12" t="s">
        <v>296</v>
      </c>
      <c r="B89" s="13">
        <f t="shared" ref="B89:J89" si="41">B90+B91+B92+B93+B94+B95</f>
        <v>14979</v>
      </c>
      <c r="C89" s="13">
        <f t="shared" si="41"/>
        <v>12</v>
      </c>
      <c r="D89" s="13">
        <f t="shared" si="41"/>
        <v>23</v>
      </c>
      <c r="E89" s="13">
        <f t="shared" si="41"/>
        <v>35</v>
      </c>
      <c r="F89" s="13">
        <f t="shared" si="41"/>
        <v>6</v>
      </c>
      <c r="G89" s="13">
        <f t="shared" si="41"/>
        <v>74</v>
      </c>
      <c r="H89" s="13">
        <f t="shared" si="41"/>
        <v>12</v>
      </c>
      <c r="I89" s="13">
        <f t="shared" si="41"/>
        <v>107</v>
      </c>
      <c r="J89" s="13">
        <f t="shared" si="41"/>
        <v>28</v>
      </c>
      <c r="K89" s="13">
        <f>SUM(K90:K95)</f>
        <v>730320</v>
      </c>
      <c r="L89" s="13">
        <f t="shared" ref="L89:T89" si="42">SUM(L90:L95)</f>
        <v>58000</v>
      </c>
      <c r="M89" s="13">
        <f t="shared" si="42"/>
        <v>74000</v>
      </c>
      <c r="N89" s="13">
        <f t="shared" si="42"/>
        <v>6000</v>
      </c>
      <c r="O89" s="13">
        <f t="shared" si="42"/>
        <v>38520</v>
      </c>
      <c r="P89" s="13">
        <f t="shared" si="42"/>
        <v>906840</v>
      </c>
      <c r="Q89" s="13">
        <f t="shared" si="42"/>
        <v>145000</v>
      </c>
      <c r="R89" s="13">
        <f t="shared" si="42"/>
        <v>45000</v>
      </c>
      <c r="S89" s="13">
        <f t="shared" si="42"/>
        <v>0</v>
      </c>
      <c r="T89" s="13">
        <f t="shared" si="42"/>
        <v>1051840</v>
      </c>
    </row>
    <row r="90" s="2" customFormat="1" ht="18" customHeight="1" spans="1:20">
      <c r="A90" s="11" t="s">
        <v>297</v>
      </c>
      <c r="B90" s="14">
        <v>1406</v>
      </c>
      <c r="C90" s="14">
        <v>2</v>
      </c>
      <c r="D90" s="14">
        <v>4</v>
      </c>
      <c r="E90" s="14">
        <f t="shared" ref="E90:E95" si="43">SUM(C90:D90)</f>
        <v>6</v>
      </c>
      <c r="F90" s="14">
        <v>1</v>
      </c>
      <c r="G90" s="14">
        <v>11</v>
      </c>
      <c r="H90" s="14">
        <v>2</v>
      </c>
      <c r="I90" s="14">
        <v>11</v>
      </c>
      <c r="J90" s="14">
        <v>28</v>
      </c>
      <c r="K90" s="14">
        <f>C90*2000*12+D90*2000*0.7*12</f>
        <v>115200</v>
      </c>
      <c r="L90" s="14">
        <v>8000</v>
      </c>
      <c r="M90" s="14">
        <f t="shared" ref="M90:M95" si="44">G90*1000</f>
        <v>11000</v>
      </c>
      <c r="N90" s="14">
        <f t="shared" ref="N90:N95" si="45">H90*500</f>
        <v>1000</v>
      </c>
      <c r="O90" s="14">
        <f t="shared" ref="O90:O95" si="46">I90*360</f>
        <v>3960</v>
      </c>
      <c r="P90" s="14">
        <f t="shared" ref="P90:P95" si="47">SUM(K90:O90)</f>
        <v>139160</v>
      </c>
      <c r="Q90" s="14">
        <v>20000</v>
      </c>
      <c r="R90" s="14">
        <v>5000</v>
      </c>
      <c r="S90" s="14"/>
      <c r="T90" s="14">
        <f t="shared" ref="T90:T95" si="48">P90+Q90+S90</f>
        <v>159160</v>
      </c>
    </row>
    <row r="91" s="2" customFormat="1" ht="18" customHeight="1" spans="1:20">
      <c r="A91" s="11" t="s">
        <v>298</v>
      </c>
      <c r="B91" s="14">
        <v>1978</v>
      </c>
      <c r="C91" s="14">
        <v>2</v>
      </c>
      <c r="D91" s="14">
        <v>4</v>
      </c>
      <c r="E91" s="14">
        <f t="shared" si="43"/>
        <v>6</v>
      </c>
      <c r="F91" s="14">
        <v>1</v>
      </c>
      <c r="G91" s="14">
        <v>14</v>
      </c>
      <c r="H91" s="14">
        <v>2</v>
      </c>
      <c r="I91" s="14">
        <v>16</v>
      </c>
      <c r="J91" s="14"/>
      <c r="K91" s="14">
        <f t="shared" si="40"/>
        <v>126720</v>
      </c>
      <c r="L91" s="14">
        <v>10000</v>
      </c>
      <c r="M91" s="14">
        <f t="shared" si="44"/>
        <v>14000</v>
      </c>
      <c r="N91" s="14">
        <f t="shared" si="45"/>
        <v>1000</v>
      </c>
      <c r="O91" s="14">
        <f t="shared" si="46"/>
        <v>5760</v>
      </c>
      <c r="P91" s="14">
        <f t="shared" si="47"/>
        <v>157480</v>
      </c>
      <c r="Q91" s="14">
        <v>25000</v>
      </c>
      <c r="R91" s="14">
        <v>8000</v>
      </c>
      <c r="S91" s="14"/>
      <c r="T91" s="14">
        <f t="shared" si="48"/>
        <v>182480</v>
      </c>
    </row>
    <row r="92" s="2" customFormat="1" ht="18" customHeight="1" spans="1:20">
      <c r="A92" s="11" t="s">
        <v>299</v>
      </c>
      <c r="B92" s="14">
        <v>3925</v>
      </c>
      <c r="C92" s="14">
        <v>2</v>
      </c>
      <c r="D92" s="14">
        <v>4</v>
      </c>
      <c r="E92" s="14">
        <f t="shared" si="43"/>
        <v>6</v>
      </c>
      <c r="F92" s="14">
        <v>1</v>
      </c>
      <c r="G92" s="14">
        <v>12</v>
      </c>
      <c r="H92" s="14">
        <v>2</v>
      </c>
      <c r="I92" s="14">
        <v>26</v>
      </c>
      <c r="J92" s="14"/>
      <c r="K92" s="14">
        <f t="shared" si="40"/>
        <v>126720</v>
      </c>
      <c r="L92" s="14">
        <v>10000</v>
      </c>
      <c r="M92" s="14">
        <f t="shared" si="44"/>
        <v>12000</v>
      </c>
      <c r="N92" s="14">
        <f t="shared" si="45"/>
        <v>1000</v>
      </c>
      <c r="O92" s="14">
        <f t="shared" si="46"/>
        <v>9360</v>
      </c>
      <c r="P92" s="14">
        <f t="shared" si="47"/>
        <v>159080</v>
      </c>
      <c r="Q92" s="14">
        <v>25000</v>
      </c>
      <c r="R92" s="14">
        <v>8000</v>
      </c>
      <c r="S92" s="14"/>
      <c r="T92" s="14">
        <f t="shared" si="48"/>
        <v>184080</v>
      </c>
    </row>
    <row r="93" s="2" customFormat="1" ht="18" customHeight="1" spans="1:20">
      <c r="A93" s="11" t="s">
        <v>300</v>
      </c>
      <c r="B93" s="14">
        <v>3125</v>
      </c>
      <c r="C93" s="14">
        <v>2</v>
      </c>
      <c r="D93" s="14">
        <v>4</v>
      </c>
      <c r="E93" s="14">
        <f t="shared" si="43"/>
        <v>6</v>
      </c>
      <c r="F93" s="14">
        <v>1</v>
      </c>
      <c r="G93" s="14">
        <v>11</v>
      </c>
      <c r="H93" s="14">
        <v>2</v>
      </c>
      <c r="I93" s="14">
        <v>21</v>
      </c>
      <c r="J93" s="14"/>
      <c r="K93" s="14">
        <f t="shared" si="40"/>
        <v>126720</v>
      </c>
      <c r="L93" s="14">
        <v>10000</v>
      </c>
      <c r="M93" s="14">
        <f t="shared" si="44"/>
        <v>11000</v>
      </c>
      <c r="N93" s="14">
        <f t="shared" si="45"/>
        <v>1000</v>
      </c>
      <c r="O93" s="14">
        <f t="shared" si="46"/>
        <v>7560</v>
      </c>
      <c r="P93" s="14">
        <f t="shared" si="47"/>
        <v>156280</v>
      </c>
      <c r="Q93" s="14">
        <v>25000</v>
      </c>
      <c r="R93" s="14">
        <v>8000</v>
      </c>
      <c r="S93" s="14"/>
      <c r="T93" s="14">
        <f t="shared" si="48"/>
        <v>181280</v>
      </c>
    </row>
    <row r="94" s="2" customFormat="1" ht="18" customHeight="1" spans="1:20">
      <c r="A94" s="11" t="s">
        <v>301</v>
      </c>
      <c r="B94" s="14">
        <v>2649</v>
      </c>
      <c r="C94" s="14">
        <v>2</v>
      </c>
      <c r="D94" s="14">
        <v>4</v>
      </c>
      <c r="E94" s="14">
        <f t="shared" si="43"/>
        <v>6</v>
      </c>
      <c r="F94" s="14">
        <v>1</v>
      </c>
      <c r="G94" s="14">
        <v>12</v>
      </c>
      <c r="H94" s="14">
        <v>2</v>
      </c>
      <c r="I94" s="14">
        <v>18</v>
      </c>
      <c r="J94" s="14"/>
      <c r="K94" s="14">
        <f t="shared" si="40"/>
        <v>126720</v>
      </c>
      <c r="L94" s="14">
        <v>10000</v>
      </c>
      <c r="M94" s="14">
        <f t="shared" si="44"/>
        <v>12000</v>
      </c>
      <c r="N94" s="14">
        <f t="shared" si="45"/>
        <v>1000</v>
      </c>
      <c r="O94" s="14">
        <f t="shared" si="46"/>
        <v>6480</v>
      </c>
      <c r="P94" s="14">
        <f t="shared" si="47"/>
        <v>156200</v>
      </c>
      <c r="Q94" s="14">
        <v>25000</v>
      </c>
      <c r="R94" s="14">
        <v>8000</v>
      </c>
      <c r="S94" s="14"/>
      <c r="T94" s="14">
        <f t="shared" si="48"/>
        <v>181200</v>
      </c>
    </row>
    <row r="95" s="2" customFormat="1" ht="18" customHeight="1" spans="1:20">
      <c r="A95" s="11" t="s">
        <v>302</v>
      </c>
      <c r="B95" s="14">
        <v>1896</v>
      </c>
      <c r="C95" s="14">
        <v>2</v>
      </c>
      <c r="D95" s="14">
        <v>3</v>
      </c>
      <c r="E95" s="14">
        <f t="shared" si="43"/>
        <v>5</v>
      </c>
      <c r="F95" s="14">
        <v>1</v>
      </c>
      <c r="G95" s="14">
        <v>14</v>
      </c>
      <c r="H95" s="14">
        <v>2</v>
      </c>
      <c r="I95" s="14">
        <v>15</v>
      </c>
      <c r="J95" s="14"/>
      <c r="K95" s="14">
        <f t="shared" si="40"/>
        <v>108240</v>
      </c>
      <c r="L95" s="14">
        <v>10000</v>
      </c>
      <c r="M95" s="14">
        <f t="shared" si="44"/>
        <v>14000</v>
      </c>
      <c r="N95" s="14">
        <f t="shared" si="45"/>
        <v>1000</v>
      </c>
      <c r="O95" s="14">
        <f t="shared" si="46"/>
        <v>5400</v>
      </c>
      <c r="P95" s="14">
        <f t="shared" si="47"/>
        <v>138640</v>
      </c>
      <c r="Q95" s="14">
        <v>25000</v>
      </c>
      <c r="R95" s="14">
        <v>8000</v>
      </c>
      <c r="S95" s="14"/>
      <c r="T95" s="14">
        <f t="shared" si="48"/>
        <v>163640</v>
      </c>
    </row>
    <row r="96" s="3" customFormat="1" ht="18" customHeight="1" spans="1:20">
      <c r="A96" s="12" t="s">
        <v>303</v>
      </c>
      <c r="B96" s="13">
        <f t="shared" ref="B96:J96" si="49">B97+B98+B99+B100+B101+B102+B103</f>
        <v>10511</v>
      </c>
      <c r="C96" s="13">
        <f t="shared" si="49"/>
        <v>14</v>
      </c>
      <c r="D96" s="13">
        <f t="shared" si="49"/>
        <v>21</v>
      </c>
      <c r="E96" s="13">
        <f t="shared" si="49"/>
        <v>35</v>
      </c>
      <c r="F96" s="13">
        <f t="shared" si="49"/>
        <v>7</v>
      </c>
      <c r="G96" s="13">
        <f t="shared" si="49"/>
        <v>65</v>
      </c>
      <c r="H96" s="13">
        <f t="shared" si="49"/>
        <v>14</v>
      </c>
      <c r="I96" s="13">
        <f t="shared" si="49"/>
        <v>75</v>
      </c>
      <c r="J96" s="13">
        <f t="shared" si="49"/>
        <v>25</v>
      </c>
      <c r="K96" s="13">
        <f>SUM(K97:K103)</f>
        <v>728160</v>
      </c>
      <c r="L96" s="13">
        <f t="shared" ref="L96:T96" si="50">SUM(L97:L103)</f>
        <v>64000</v>
      </c>
      <c r="M96" s="13">
        <f t="shared" si="50"/>
        <v>65000</v>
      </c>
      <c r="N96" s="13">
        <f t="shared" si="50"/>
        <v>7000</v>
      </c>
      <c r="O96" s="13">
        <f t="shared" si="50"/>
        <v>27000</v>
      </c>
      <c r="P96" s="13">
        <f t="shared" si="50"/>
        <v>891160</v>
      </c>
      <c r="Q96" s="13">
        <f t="shared" si="50"/>
        <v>145000</v>
      </c>
      <c r="R96" s="13">
        <f t="shared" si="50"/>
        <v>47000</v>
      </c>
      <c r="S96" s="13">
        <f t="shared" si="50"/>
        <v>0</v>
      </c>
      <c r="T96" s="13">
        <f t="shared" si="50"/>
        <v>1036160</v>
      </c>
    </row>
    <row r="97" s="2" customFormat="1" ht="18" customHeight="1" spans="1:20">
      <c r="A97" s="11" t="s">
        <v>304</v>
      </c>
      <c r="B97" s="14">
        <v>1563</v>
      </c>
      <c r="C97" s="14">
        <v>2</v>
      </c>
      <c r="D97" s="14">
        <v>3</v>
      </c>
      <c r="E97" s="14">
        <f t="shared" ref="E97:E103" si="51">SUM(C97:D97)</f>
        <v>5</v>
      </c>
      <c r="F97" s="14">
        <v>1</v>
      </c>
      <c r="G97" s="14">
        <v>6</v>
      </c>
      <c r="H97" s="14">
        <v>2</v>
      </c>
      <c r="I97" s="14">
        <v>10</v>
      </c>
      <c r="J97" s="14">
        <v>25</v>
      </c>
      <c r="K97" s="14">
        <f>C97*2200*12+D97*2200*0.7*12</f>
        <v>108240</v>
      </c>
      <c r="L97" s="14">
        <v>10000</v>
      </c>
      <c r="M97" s="14">
        <f t="shared" ref="M97:M103" si="52">G97*1000</f>
        <v>6000</v>
      </c>
      <c r="N97" s="14">
        <f t="shared" ref="N97:N103" si="53">H97*500</f>
        <v>1000</v>
      </c>
      <c r="O97" s="14">
        <f>I97*360</f>
        <v>3600</v>
      </c>
      <c r="P97" s="14">
        <f t="shared" ref="P97:P103" si="54">SUM(K97:O97)</f>
        <v>128840</v>
      </c>
      <c r="Q97" s="14">
        <v>25000</v>
      </c>
      <c r="R97" s="14">
        <v>8000</v>
      </c>
      <c r="S97" s="14"/>
      <c r="T97" s="14">
        <f t="shared" ref="T97:T103" si="55">P97+Q97+S97</f>
        <v>153840</v>
      </c>
    </row>
    <row r="98" s="2" customFormat="1" ht="18" customHeight="1" spans="1:20">
      <c r="A98" s="11" t="s">
        <v>305</v>
      </c>
      <c r="B98" s="14">
        <v>1456</v>
      </c>
      <c r="C98" s="14">
        <v>2</v>
      </c>
      <c r="D98" s="14">
        <v>3</v>
      </c>
      <c r="E98" s="14">
        <f t="shared" si="51"/>
        <v>5</v>
      </c>
      <c r="F98" s="14">
        <v>1</v>
      </c>
      <c r="G98" s="14">
        <v>9</v>
      </c>
      <c r="H98" s="14">
        <v>2</v>
      </c>
      <c r="I98" s="14">
        <v>9</v>
      </c>
      <c r="J98" s="14"/>
      <c r="K98" s="14">
        <f>C98*2000*12+D98*2000*0.7*12</f>
        <v>98400</v>
      </c>
      <c r="L98" s="14">
        <v>8000</v>
      </c>
      <c r="M98" s="14">
        <f t="shared" si="52"/>
        <v>9000</v>
      </c>
      <c r="N98" s="14">
        <f t="shared" si="53"/>
        <v>1000</v>
      </c>
      <c r="O98" s="14">
        <f t="shared" ref="O98:O103" si="56">I98*360</f>
        <v>3240</v>
      </c>
      <c r="P98" s="14">
        <f t="shared" si="54"/>
        <v>119640</v>
      </c>
      <c r="Q98" s="14">
        <v>20000</v>
      </c>
      <c r="R98" s="14">
        <v>5000</v>
      </c>
      <c r="S98" s="14"/>
      <c r="T98" s="14">
        <f t="shared" si="55"/>
        <v>139640</v>
      </c>
    </row>
    <row r="99" s="2" customFormat="1" ht="18" customHeight="1" spans="1:20">
      <c r="A99" s="11" t="s">
        <v>306</v>
      </c>
      <c r="B99" s="14">
        <v>1468</v>
      </c>
      <c r="C99" s="14">
        <v>2</v>
      </c>
      <c r="D99" s="14">
        <v>3</v>
      </c>
      <c r="E99" s="14">
        <f t="shared" si="51"/>
        <v>5</v>
      </c>
      <c r="F99" s="14">
        <v>1</v>
      </c>
      <c r="G99" s="14">
        <v>9</v>
      </c>
      <c r="H99" s="14">
        <v>2</v>
      </c>
      <c r="I99" s="14">
        <v>10</v>
      </c>
      <c r="J99" s="14"/>
      <c r="K99" s="14">
        <f>C99*2000*12+D99*2000*0.7*12</f>
        <v>98400</v>
      </c>
      <c r="L99" s="14">
        <v>8000</v>
      </c>
      <c r="M99" s="14">
        <f t="shared" si="52"/>
        <v>9000</v>
      </c>
      <c r="N99" s="14">
        <f t="shared" si="53"/>
        <v>1000</v>
      </c>
      <c r="O99" s="14">
        <f t="shared" si="56"/>
        <v>3600</v>
      </c>
      <c r="P99" s="14">
        <f t="shared" si="54"/>
        <v>120000</v>
      </c>
      <c r="Q99" s="14">
        <v>20000</v>
      </c>
      <c r="R99" s="14">
        <v>5000</v>
      </c>
      <c r="S99" s="14"/>
      <c r="T99" s="14">
        <f t="shared" si="55"/>
        <v>140000</v>
      </c>
    </row>
    <row r="100" s="2" customFormat="1" ht="18" customHeight="1" spans="1:20">
      <c r="A100" s="11" t="s">
        <v>307</v>
      </c>
      <c r="B100" s="14">
        <v>1689</v>
      </c>
      <c r="C100" s="14">
        <v>2</v>
      </c>
      <c r="D100" s="14">
        <v>3</v>
      </c>
      <c r="E100" s="14">
        <f t="shared" si="51"/>
        <v>5</v>
      </c>
      <c r="F100" s="14">
        <v>1</v>
      </c>
      <c r="G100" s="14">
        <v>11</v>
      </c>
      <c r="H100" s="14">
        <v>2</v>
      </c>
      <c r="I100" s="14">
        <v>13</v>
      </c>
      <c r="J100" s="14"/>
      <c r="K100" s="14">
        <f>C100*2200*12+D100*2200*0.7*12</f>
        <v>108240</v>
      </c>
      <c r="L100" s="14">
        <v>10000</v>
      </c>
      <c r="M100" s="14">
        <f t="shared" si="52"/>
        <v>11000</v>
      </c>
      <c r="N100" s="14">
        <f t="shared" si="53"/>
        <v>1000</v>
      </c>
      <c r="O100" s="14">
        <f t="shared" si="56"/>
        <v>4680</v>
      </c>
      <c r="P100" s="14">
        <f t="shared" si="54"/>
        <v>134920</v>
      </c>
      <c r="Q100" s="14">
        <v>20000</v>
      </c>
      <c r="R100" s="14">
        <v>8000</v>
      </c>
      <c r="S100" s="14"/>
      <c r="T100" s="14">
        <f t="shared" si="55"/>
        <v>154920</v>
      </c>
    </row>
    <row r="101" s="2" customFormat="1" ht="18" customHeight="1" spans="1:20">
      <c r="A101" s="11" t="s">
        <v>308</v>
      </c>
      <c r="B101" s="14">
        <v>1551</v>
      </c>
      <c r="C101" s="14">
        <v>2</v>
      </c>
      <c r="D101" s="14">
        <v>3</v>
      </c>
      <c r="E101" s="14">
        <f t="shared" si="51"/>
        <v>5</v>
      </c>
      <c r="F101" s="14">
        <v>1</v>
      </c>
      <c r="G101" s="14">
        <v>11</v>
      </c>
      <c r="H101" s="14">
        <v>2</v>
      </c>
      <c r="I101" s="14">
        <v>12</v>
      </c>
      <c r="J101" s="14"/>
      <c r="K101" s="14">
        <f>C101*2200*12+D101*2200*0.7*12</f>
        <v>108240</v>
      </c>
      <c r="L101" s="14">
        <v>10000</v>
      </c>
      <c r="M101" s="14">
        <f t="shared" si="52"/>
        <v>11000</v>
      </c>
      <c r="N101" s="14">
        <f t="shared" si="53"/>
        <v>1000</v>
      </c>
      <c r="O101" s="14">
        <f t="shared" si="56"/>
        <v>4320</v>
      </c>
      <c r="P101" s="14">
        <f t="shared" si="54"/>
        <v>134560</v>
      </c>
      <c r="Q101" s="14">
        <v>20000</v>
      </c>
      <c r="R101" s="14">
        <v>8000</v>
      </c>
      <c r="S101" s="14"/>
      <c r="T101" s="14">
        <f t="shared" si="55"/>
        <v>154560</v>
      </c>
    </row>
    <row r="102" s="2" customFormat="1" ht="18" customHeight="1" spans="1:20">
      <c r="A102" s="11" t="s">
        <v>309</v>
      </c>
      <c r="B102" s="14">
        <v>1558</v>
      </c>
      <c r="C102" s="14">
        <v>2</v>
      </c>
      <c r="D102" s="14">
        <v>3</v>
      </c>
      <c r="E102" s="14">
        <f t="shared" si="51"/>
        <v>5</v>
      </c>
      <c r="F102" s="14">
        <v>1</v>
      </c>
      <c r="G102" s="14">
        <v>10</v>
      </c>
      <c r="H102" s="14">
        <v>2</v>
      </c>
      <c r="I102" s="14">
        <v>11</v>
      </c>
      <c r="J102" s="14"/>
      <c r="K102" s="14">
        <f>C102*2200*12+D102*2200*0.7*12</f>
        <v>108240</v>
      </c>
      <c r="L102" s="14">
        <v>10000</v>
      </c>
      <c r="M102" s="14">
        <f t="shared" si="52"/>
        <v>10000</v>
      </c>
      <c r="N102" s="14">
        <f t="shared" si="53"/>
        <v>1000</v>
      </c>
      <c r="O102" s="14">
        <f t="shared" si="56"/>
        <v>3960</v>
      </c>
      <c r="P102" s="14">
        <f t="shared" si="54"/>
        <v>133200</v>
      </c>
      <c r="Q102" s="14">
        <v>20000</v>
      </c>
      <c r="R102" s="14">
        <v>8000</v>
      </c>
      <c r="S102" s="14"/>
      <c r="T102" s="14">
        <f t="shared" si="55"/>
        <v>153200</v>
      </c>
    </row>
    <row r="103" s="2" customFormat="1" ht="18" customHeight="1" spans="1:20">
      <c r="A103" s="11" t="s">
        <v>310</v>
      </c>
      <c r="B103" s="14">
        <v>1226</v>
      </c>
      <c r="C103" s="14">
        <v>2</v>
      </c>
      <c r="D103" s="14">
        <v>3</v>
      </c>
      <c r="E103" s="14">
        <f t="shared" si="51"/>
        <v>5</v>
      </c>
      <c r="F103" s="14">
        <v>1</v>
      </c>
      <c r="G103" s="14">
        <v>9</v>
      </c>
      <c r="H103" s="14">
        <v>2</v>
      </c>
      <c r="I103" s="14">
        <v>10</v>
      </c>
      <c r="J103" s="14"/>
      <c r="K103" s="14">
        <f>C103*2000*12+D103*2000*0.7*12</f>
        <v>98400</v>
      </c>
      <c r="L103" s="14">
        <v>8000</v>
      </c>
      <c r="M103" s="14">
        <f t="shared" si="52"/>
        <v>9000</v>
      </c>
      <c r="N103" s="14">
        <f t="shared" si="53"/>
        <v>1000</v>
      </c>
      <c r="O103" s="14">
        <f t="shared" si="56"/>
        <v>3600</v>
      </c>
      <c r="P103" s="14">
        <f t="shared" si="54"/>
        <v>120000</v>
      </c>
      <c r="Q103" s="14">
        <v>20000</v>
      </c>
      <c r="R103" s="14">
        <v>5000</v>
      </c>
      <c r="S103" s="14"/>
      <c r="T103" s="14">
        <f t="shared" si="55"/>
        <v>140000</v>
      </c>
    </row>
    <row r="104" s="3" customFormat="1" ht="18" customHeight="1" spans="1:20">
      <c r="A104" s="12" t="s">
        <v>311</v>
      </c>
      <c r="B104" s="13">
        <f t="shared" ref="B104:J104" si="57">B105+B106+B107+B108+B109+B110+B111+B112+B113+B114</f>
        <v>15626</v>
      </c>
      <c r="C104" s="13">
        <f t="shared" si="57"/>
        <v>20</v>
      </c>
      <c r="D104" s="13">
        <f t="shared" si="57"/>
        <v>36</v>
      </c>
      <c r="E104" s="13">
        <f t="shared" si="57"/>
        <v>56</v>
      </c>
      <c r="F104" s="13">
        <f t="shared" si="57"/>
        <v>10</v>
      </c>
      <c r="G104" s="13">
        <f t="shared" si="57"/>
        <v>135</v>
      </c>
      <c r="H104" s="13">
        <f t="shared" si="57"/>
        <v>20</v>
      </c>
      <c r="I104" s="13">
        <f t="shared" si="57"/>
        <v>151</v>
      </c>
      <c r="J104" s="13">
        <f t="shared" si="57"/>
        <v>56</v>
      </c>
      <c r="K104" s="13">
        <f>SUM(K105:K114)</f>
        <v>1163760</v>
      </c>
      <c r="L104" s="13">
        <f t="shared" ref="L104:T104" si="58">SUM(L105:L114)</f>
        <v>94000</v>
      </c>
      <c r="M104" s="13">
        <f t="shared" si="58"/>
        <v>135000</v>
      </c>
      <c r="N104" s="13">
        <f t="shared" si="58"/>
        <v>10000</v>
      </c>
      <c r="O104" s="13">
        <f t="shared" si="58"/>
        <v>54360</v>
      </c>
      <c r="P104" s="13">
        <f t="shared" si="58"/>
        <v>1457120</v>
      </c>
      <c r="Q104" s="13">
        <f t="shared" si="58"/>
        <v>200000</v>
      </c>
      <c r="R104" s="13">
        <f t="shared" si="58"/>
        <v>71000</v>
      </c>
      <c r="S104" s="13">
        <f t="shared" si="58"/>
        <v>0</v>
      </c>
      <c r="T104" s="13">
        <f t="shared" si="58"/>
        <v>1657120</v>
      </c>
    </row>
    <row r="105" s="2" customFormat="1" ht="18" customHeight="1" spans="1:20">
      <c r="A105" s="11" t="s">
        <v>312</v>
      </c>
      <c r="B105" s="14">
        <v>1519</v>
      </c>
      <c r="C105" s="14">
        <v>2</v>
      </c>
      <c r="D105" s="14">
        <v>4</v>
      </c>
      <c r="E105" s="14">
        <f t="shared" ref="E105:E114" si="59">SUM(C105:D105)</f>
        <v>6</v>
      </c>
      <c r="F105" s="14">
        <v>1</v>
      </c>
      <c r="G105" s="14">
        <v>16</v>
      </c>
      <c r="H105" s="14">
        <v>2</v>
      </c>
      <c r="I105" s="14">
        <v>14</v>
      </c>
      <c r="J105" s="14">
        <v>56</v>
      </c>
      <c r="K105" s="14">
        <f>C105*2200*12+D105*2200*0.7*12</f>
        <v>126720</v>
      </c>
      <c r="L105" s="14">
        <v>10000</v>
      </c>
      <c r="M105" s="14">
        <f t="shared" ref="M105:M114" si="60">G105*1000</f>
        <v>16000</v>
      </c>
      <c r="N105" s="14">
        <f t="shared" ref="N105:N114" si="61">H105*500</f>
        <v>1000</v>
      </c>
      <c r="O105" s="14">
        <f>I105*360</f>
        <v>5040</v>
      </c>
      <c r="P105" s="14">
        <f t="shared" ref="P105:P114" si="62">SUM(K105:O105)</f>
        <v>158760</v>
      </c>
      <c r="Q105" s="14">
        <v>20000</v>
      </c>
      <c r="R105" s="14">
        <v>8000</v>
      </c>
      <c r="S105" s="14"/>
      <c r="T105" s="14">
        <f t="shared" ref="T105:T114" si="63">P105+Q105+S105</f>
        <v>178760</v>
      </c>
    </row>
    <row r="106" s="2" customFormat="1" ht="18" customHeight="1" spans="1:20">
      <c r="A106" s="11" t="s">
        <v>313</v>
      </c>
      <c r="B106" s="14">
        <v>1370</v>
      </c>
      <c r="C106" s="14">
        <v>2</v>
      </c>
      <c r="D106" s="14">
        <v>5</v>
      </c>
      <c r="E106" s="14">
        <f t="shared" si="59"/>
        <v>7</v>
      </c>
      <c r="F106" s="14">
        <v>1</v>
      </c>
      <c r="G106" s="14">
        <v>13</v>
      </c>
      <c r="H106" s="14">
        <v>2</v>
      </c>
      <c r="I106" s="14">
        <v>18</v>
      </c>
      <c r="J106" s="14"/>
      <c r="K106" s="14">
        <f>C106*2000*12+D106*2000*0.7*12</f>
        <v>132000</v>
      </c>
      <c r="L106" s="14">
        <v>8000</v>
      </c>
      <c r="M106" s="14">
        <f t="shared" si="60"/>
        <v>13000</v>
      </c>
      <c r="N106" s="14">
        <f t="shared" si="61"/>
        <v>1000</v>
      </c>
      <c r="O106" s="14">
        <f t="shared" ref="O106:O114" si="64">I106*360</f>
        <v>6480</v>
      </c>
      <c r="P106" s="14">
        <f t="shared" si="62"/>
        <v>160480</v>
      </c>
      <c r="Q106" s="14">
        <v>20000</v>
      </c>
      <c r="R106" s="14">
        <v>5000</v>
      </c>
      <c r="S106" s="14"/>
      <c r="T106" s="14">
        <f t="shared" si="63"/>
        <v>180480</v>
      </c>
    </row>
    <row r="107" s="2" customFormat="1" ht="18" customHeight="1" spans="1:20">
      <c r="A107" s="11" t="s">
        <v>314</v>
      </c>
      <c r="B107" s="14">
        <v>1584</v>
      </c>
      <c r="C107" s="14">
        <v>2</v>
      </c>
      <c r="D107" s="14">
        <v>4</v>
      </c>
      <c r="E107" s="14">
        <f t="shared" si="59"/>
        <v>6</v>
      </c>
      <c r="F107" s="14">
        <v>1</v>
      </c>
      <c r="G107" s="14">
        <v>19</v>
      </c>
      <c r="H107" s="14">
        <v>2</v>
      </c>
      <c r="I107" s="14">
        <v>18</v>
      </c>
      <c r="J107" s="14"/>
      <c r="K107" s="14">
        <f>C107*2200*12+D107*2200*0.7*12</f>
        <v>126720</v>
      </c>
      <c r="L107" s="14">
        <v>10000</v>
      </c>
      <c r="M107" s="14">
        <f t="shared" si="60"/>
        <v>19000</v>
      </c>
      <c r="N107" s="14">
        <f t="shared" si="61"/>
        <v>1000</v>
      </c>
      <c r="O107" s="14">
        <f t="shared" si="64"/>
        <v>6480</v>
      </c>
      <c r="P107" s="14">
        <f t="shared" si="62"/>
        <v>163200</v>
      </c>
      <c r="Q107" s="14">
        <v>20000</v>
      </c>
      <c r="R107" s="14">
        <v>8000</v>
      </c>
      <c r="S107" s="14"/>
      <c r="T107" s="14">
        <f t="shared" si="63"/>
        <v>183200</v>
      </c>
    </row>
    <row r="108" s="2" customFormat="1" ht="18" customHeight="1" spans="1:20">
      <c r="A108" s="11" t="s">
        <v>315</v>
      </c>
      <c r="B108" s="14">
        <v>3304</v>
      </c>
      <c r="C108" s="14">
        <v>2</v>
      </c>
      <c r="D108" s="14">
        <v>5</v>
      </c>
      <c r="E108" s="14">
        <f t="shared" si="59"/>
        <v>7</v>
      </c>
      <c r="F108" s="14">
        <v>1</v>
      </c>
      <c r="G108" s="14">
        <v>18</v>
      </c>
      <c r="H108" s="14">
        <v>2</v>
      </c>
      <c r="I108" s="14">
        <v>25</v>
      </c>
      <c r="J108" s="14"/>
      <c r="K108" s="14">
        <f>C108*2200*12+D108*2200*0.7*12</f>
        <v>145200</v>
      </c>
      <c r="L108" s="14">
        <v>10000</v>
      </c>
      <c r="M108" s="14">
        <f t="shared" si="60"/>
        <v>18000</v>
      </c>
      <c r="N108" s="14">
        <f t="shared" si="61"/>
        <v>1000</v>
      </c>
      <c r="O108" s="14">
        <f t="shared" si="64"/>
        <v>9000</v>
      </c>
      <c r="P108" s="14">
        <f t="shared" si="62"/>
        <v>183200</v>
      </c>
      <c r="Q108" s="14">
        <v>20000</v>
      </c>
      <c r="R108" s="14">
        <v>8000</v>
      </c>
      <c r="S108" s="14"/>
      <c r="T108" s="14">
        <f t="shared" si="63"/>
        <v>203200</v>
      </c>
    </row>
    <row r="109" s="2" customFormat="1" ht="18" customHeight="1" spans="1:20">
      <c r="A109" s="11" t="s">
        <v>316</v>
      </c>
      <c r="B109" s="14">
        <v>1936</v>
      </c>
      <c r="C109" s="14">
        <v>2</v>
      </c>
      <c r="D109" s="14">
        <v>4</v>
      </c>
      <c r="E109" s="14">
        <f t="shared" si="59"/>
        <v>6</v>
      </c>
      <c r="F109" s="14">
        <v>1</v>
      </c>
      <c r="G109" s="14">
        <v>18</v>
      </c>
      <c r="H109" s="14">
        <v>2</v>
      </c>
      <c r="I109" s="14">
        <v>19</v>
      </c>
      <c r="J109" s="14"/>
      <c r="K109" s="14">
        <f>C109*2200*12+D109*2200*0.7*12</f>
        <v>126720</v>
      </c>
      <c r="L109" s="14">
        <v>10000</v>
      </c>
      <c r="M109" s="14">
        <f t="shared" si="60"/>
        <v>18000</v>
      </c>
      <c r="N109" s="14">
        <f t="shared" si="61"/>
        <v>1000</v>
      </c>
      <c r="O109" s="14">
        <f t="shared" si="64"/>
        <v>6840</v>
      </c>
      <c r="P109" s="14">
        <f t="shared" si="62"/>
        <v>162560</v>
      </c>
      <c r="Q109" s="14">
        <v>20000</v>
      </c>
      <c r="R109" s="14">
        <v>8000</v>
      </c>
      <c r="S109" s="14"/>
      <c r="T109" s="14">
        <f t="shared" si="63"/>
        <v>182560</v>
      </c>
    </row>
    <row r="110" s="2" customFormat="1" ht="18" customHeight="1" spans="1:20">
      <c r="A110" s="11" t="s">
        <v>317</v>
      </c>
      <c r="B110" s="14">
        <v>1520</v>
      </c>
      <c r="C110" s="14">
        <v>2</v>
      </c>
      <c r="D110" s="14">
        <v>4</v>
      </c>
      <c r="E110" s="14">
        <f t="shared" si="59"/>
        <v>6</v>
      </c>
      <c r="F110" s="14">
        <v>1</v>
      </c>
      <c r="G110" s="14">
        <v>18</v>
      </c>
      <c r="H110" s="14">
        <v>2</v>
      </c>
      <c r="I110" s="14">
        <v>18</v>
      </c>
      <c r="J110" s="14"/>
      <c r="K110" s="14">
        <f>C110*2200*12+D110*2200*0.7*12</f>
        <v>126720</v>
      </c>
      <c r="L110" s="14">
        <v>10000</v>
      </c>
      <c r="M110" s="14">
        <f t="shared" si="60"/>
        <v>18000</v>
      </c>
      <c r="N110" s="14">
        <f t="shared" si="61"/>
        <v>1000</v>
      </c>
      <c r="O110" s="14">
        <f t="shared" si="64"/>
        <v>6480</v>
      </c>
      <c r="P110" s="14">
        <f t="shared" si="62"/>
        <v>162200</v>
      </c>
      <c r="Q110" s="14">
        <v>20000</v>
      </c>
      <c r="R110" s="14">
        <v>8000</v>
      </c>
      <c r="S110" s="14"/>
      <c r="T110" s="14">
        <f t="shared" si="63"/>
        <v>182200</v>
      </c>
    </row>
    <row r="111" s="2" customFormat="1" ht="18" customHeight="1" spans="1:20">
      <c r="A111" s="11" t="s">
        <v>318</v>
      </c>
      <c r="B111" s="14">
        <v>509</v>
      </c>
      <c r="C111" s="14">
        <v>2</v>
      </c>
      <c r="D111" s="14">
        <v>2</v>
      </c>
      <c r="E111" s="14">
        <f t="shared" si="59"/>
        <v>4</v>
      </c>
      <c r="F111" s="14">
        <v>1</v>
      </c>
      <c r="G111" s="14">
        <v>3</v>
      </c>
      <c r="H111" s="14">
        <v>2</v>
      </c>
      <c r="I111" s="14">
        <v>4</v>
      </c>
      <c r="J111" s="14"/>
      <c r="K111" s="14">
        <f>C111*2000*12+D111*2000*0.7*12</f>
        <v>81600</v>
      </c>
      <c r="L111" s="14">
        <v>8000</v>
      </c>
      <c r="M111" s="14">
        <f t="shared" si="60"/>
        <v>3000</v>
      </c>
      <c r="N111" s="14">
        <f t="shared" si="61"/>
        <v>1000</v>
      </c>
      <c r="O111" s="14">
        <f t="shared" si="64"/>
        <v>1440</v>
      </c>
      <c r="P111" s="14">
        <f t="shared" si="62"/>
        <v>95040</v>
      </c>
      <c r="Q111" s="14">
        <v>20000</v>
      </c>
      <c r="R111" s="14">
        <v>5000</v>
      </c>
      <c r="S111" s="14"/>
      <c r="T111" s="14">
        <f t="shared" si="63"/>
        <v>115040</v>
      </c>
    </row>
    <row r="112" s="2" customFormat="1" ht="18" customHeight="1" spans="1:20">
      <c r="A112" s="11" t="s">
        <v>319</v>
      </c>
      <c r="B112" s="14">
        <v>1780</v>
      </c>
      <c r="C112" s="14">
        <v>2</v>
      </c>
      <c r="D112" s="14">
        <v>3</v>
      </c>
      <c r="E112" s="14">
        <f t="shared" si="59"/>
        <v>5</v>
      </c>
      <c r="F112" s="14">
        <v>1</v>
      </c>
      <c r="G112" s="14">
        <v>14</v>
      </c>
      <c r="H112" s="14">
        <v>2</v>
      </c>
      <c r="I112" s="14">
        <v>16</v>
      </c>
      <c r="J112" s="14"/>
      <c r="K112" s="14">
        <f>C112*2200*12+D112*2200*0.7*12</f>
        <v>108240</v>
      </c>
      <c r="L112" s="14">
        <v>10000</v>
      </c>
      <c r="M112" s="14">
        <f t="shared" si="60"/>
        <v>14000</v>
      </c>
      <c r="N112" s="14">
        <f t="shared" si="61"/>
        <v>1000</v>
      </c>
      <c r="O112" s="14">
        <f t="shared" si="64"/>
        <v>5760</v>
      </c>
      <c r="P112" s="14">
        <f t="shared" si="62"/>
        <v>139000</v>
      </c>
      <c r="Q112" s="14">
        <v>20000</v>
      </c>
      <c r="R112" s="14">
        <v>8000</v>
      </c>
      <c r="S112" s="14"/>
      <c r="T112" s="14">
        <f t="shared" si="63"/>
        <v>159000</v>
      </c>
    </row>
    <row r="113" s="2" customFormat="1" ht="18" customHeight="1" spans="1:20">
      <c r="A113" s="11" t="s">
        <v>320</v>
      </c>
      <c r="B113" s="14">
        <v>1506</v>
      </c>
      <c r="C113" s="14">
        <v>2</v>
      </c>
      <c r="D113" s="14">
        <v>3</v>
      </c>
      <c r="E113" s="14">
        <f t="shared" si="59"/>
        <v>5</v>
      </c>
      <c r="F113" s="14">
        <v>1</v>
      </c>
      <c r="G113" s="14">
        <v>4</v>
      </c>
      <c r="H113" s="14">
        <v>2</v>
      </c>
      <c r="I113" s="14">
        <v>15</v>
      </c>
      <c r="J113" s="14"/>
      <c r="K113" s="14">
        <f>C113*2200*12+D113*2200*0.7*12</f>
        <v>108240</v>
      </c>
      <c r="L113" s="14">
        <v>10000</v>
      </c>
      <c r="M113" s="14">
        <f t="shared" si="60"/>
        <v>4000</v>
      </c>
      <c r="N113" s="14">
        <f t="shared" si="61"/>
        <v>1000</v>
      </c>
      <c r="O113" s="14">
        <f t="shared" si="64"/>
        <v>5400</v>
      </c>
      <c r="P113" s="14">
        <f t="shared" si="62"/>
        <v>128640</v>
      </c>
      <c r="Q113" s="14">
        <v>20000</v>
      </c>
      <c r="R113" s="14">
        <v>8000</v>
      </c>
      <c r="S113" s="14"/>
      <c r="T113" s="14">
        <f t="shared" si="63"/>
        <v>148640</v>
      </c>
    </row>
    <row r="114" s="2" customFormat="1" ht="18" customHeight="1" spans="1:20">
      <c r="A114" s="11" t="s">
        <v>321</v>
      </c>
      <c r="B114" s="14">
        <v>598</v>
      </c>
      <c r="C114" s="14">
        <v>2</v>
      </c>
      <c r="D114" s="14">
        <v>2</v>
      </c>
      <c r="E114" s="14">
        <f t="shared" si="59"/>
        <v>4</v>
      </c>
      <c r="F114" s="14">
        <v>1</v>
      </c>
      <c r="G114" s="14">
        <v>12</v>
      </c>
      <c r="H114" s="14">
        <v>2</v>
      </c>
      <c r="I114" s="14">
        <v>4</v>
      </c>
      <c r="J114" s="14"/>
      <c r="K114" s="14">
        <f>C114*2000*12+D114*2000*0.7*12</f>
        <v>81600</v>
      </c>
      <c r="L114" s="14">
        <v>8000</v>
      </c>
      <c r="M114" s="14">
        <f t="shared" si="60"/>
        <v>12000</v>
      </c>
      <c r="N114" s="14">
        <f t="shared" si="61"/>
        <v>1000</v>
      </c>
      <c r="O114" s="14">
        <f t="shared" si="64"/>
        <v>1440</v>
      </c>
      <c r="P114" s="14">
        <f t="shared" si="62"/>
        <v>104040</v>
      </c>
      <c r="Q114" s="14">
        <v>20000</v>
      </c>
      <c r="R114" s="14">
        <v>5000</v>
      </c>
      <c r="S114" s="14"/>
      <c r="T114" s="14">
        <f t="shared" si="63"/>
        <v>124040</v>
      </c>
    </row>
    <row r="115" s="3" customFormat="1" ht="18" customHeight="1" spans="1:20">
      <c r="A115" s="12" t="s">
        <v>322</v>
      </c>
      <c r="B115" s="13">
        <f t="shared" ref="B115:J115" si="65">B116+B117+B118+B119+B120+B121+B122+B123+B124+B125+B126</f>
        <v>16665</v>
      </c>
      <c r="C115" s="13">
        <f t="shared" si="65"/>
        <v>22</v>
      </c>
      <c r="D115" s="13">
        <f t="shared" si="65"/>
        <v>35</v>
      </c>
      <c r="E115" s="13">
        <f t="shared" si="65"/>
        <v>57</v>
      </c>
      <c r="F115" s="13">
        <f t="shared" si="65"/>
        <v>11</v>
      </c>
      <c r="G115" s="13">
        <f t="shared" si="65"/>
        <v>85</v>
      </c>
      <c r="H115" s="13">
        <f t="shared" si="65"/>
        <v>22</v>
      </c>
      <c r="I115" s="13">
        <f t="shared" si="65"/>
        <v>123</v>
      </c>
      <c r="J115" s="13">
        <f t="shared" si="65"/>
        <v>53</v>
      </c>
      <c r="K115" s="13">
        <f>SUM(K116:K126)</f>
        <v>1160400</v>
      </c>
      <c r="L115" s="13">
        <f t="shared" ref="L115:T115" si="66">SUM(L116:L126)</f>
        <v>96000</v>
      </c>
      <c r="M115" s="13">
        <f t="shared" si="66"/>
        <v>85000</v>
      </c>
      <c r="N115" s="13">
        <f t="shared" si="66"/>
        <v>11000</v>
      </c>
      <c r="O115" s="13">
        <f t="shared" si="66"/>
        <v>44280</v>
      </c>
      <c r="P115" s="13">
        <f t="shared" si="66"/>
        <v>1396680</v>
      </c>
      <c r="Q115" s="13">
        <f t="shared" si="66"/>
        <v>220000</v>
      </c>
      <c r="R115" s="13">
        <f t="shared" si="66"/>
        <v>67000</v>
      </c>
      <c r="S115" s="13">
        <f t="shared" si="66"/>
        <v>0</v>
      </c>
      <c r="T115" s="13">
        <f t="shared" si="66"/>
        <v>1616680</v>
      </c>
    </row>
    <row r="116" s="2" customFormat="1" ht="18" customHeight="1" spans="1:20">
      <c r="A116" s="11" t="s">
        <v>323</v>
      </c>
      <c r="B116" s="14">
        <v>1341</v>
      </c>
      <c r="C116" s="14">
        <v>2</v>
      </c>
      <c r="D116" s="14">
        <v>3</v>
      </c>
      <c r="E116" s="14">
        <f t="shared" ref="E116:E126" si="67">SUM(C116:D116)</f>
        <v>5</v>
      </c>
      <c r="F116" s="14">
        <v>1</v>
      </c>
      <c r="G116" s="14">
        <v>5</v>
      </c>
      <c r="H116" s="14">
        <v>2</v>
      </c>
      <c r="I116" s="14">
        <v>8</v>
      </c>
      <c r="J116" s="14">
        <v>53</v>
      </c>
      <c r="K116" s="14">
        <f>C116*2000*12+D116*2000*0.7*12</f>
        <v>98400</v>
      </c>
      <c r="L116" s="14">
        <v>8000</v>
      </c>
      <c r="M116" s="14">
        <f t="shared" ref="M116:M126" si="68">G116*1000</f>
        <v>5000</v>
      </c>
      <c r="N116" s="14">
        <f t="shared" ref="N116:N126" si="69">H116*500</f>
        <v>1000</v>
      </c>
      <c r="O116" s="14">
        <f>I116*360</f>
        <v>2880</v>
      </c>
      <c r="P116" s="14">
        <f t="shared" ref="P116:P126" si="70">SUM(K116:O116)</f>
        <v>115280</v>
      </c>
      <c r="Q116" s="14">
        <v>20000</v>
      </c>
      <c r="R116" s="14">
        <v>5000</v>
      </c>
      <c r="S116" s="14"/>
      <c r="T116" s="14">
        <f t="shared" ref="T116:T126" si="71">P116+Q116+S116</f>
        <v>135280</v>
      </c>
    </row>
    <row r="117" s="2" customFormat="1" ht="18" customHeight="1" spans="1:20">
      <c r="A117" s="11" t="s">
        <v>324</v>
      </c>
      <c r="B117" s="14">
        <v>1510</v>
      </c>
      <c r="C117" s="14">
        <v>2</v>
      </c>
      <c r="D117" s="14">
        <v>3</v>
      </c>
      <c r="E117" s="14">
        <f t="shared" si="67"/>
        <v>5</v>
      </c>
      <c r="F117" s="14">
        <v>1</v>
      </c>
      <c r="G117" s="14">
        <v>5</v>
      </c>
      <c r="H117" s="14">
        <v>2</v>
      </c>
      <c r="I117" s="14">
        <v>11</v>
      </c>
      <c r="J117" s="14"/>
      <c r="K117" s="14">
        <f t="shared" ref="K117:K122" si="72">C117*2200*12+D117*2200*0.7*12</f>
        <v>108240</v>
      </c>
      <c r="L117" s="14">
        <v>10000</v>
      </c>
      <c r="M117" s="14">
        <f t="shared" si="68"/>
        <v>5000</v>
      </c>
      <c r="N117" s="14">
        <f t="shared" si="69"/>
        <v>1000</v>
      </c>
      <c r="O117" s="14">
        <f t="shared" ref="O117:O126" si="73">I117*360</f>
        <v>3960</v>
      </c>
      <c r="P117" s="14">
        <f t="shared" si="70"/>
        <v>128200</v>
      </c>
      <c r="Q117" s="14">
        <v>20000</v>
      </c>
      <c r="R117" s="14">
        <v>8000</v>
      </c>
      <c r="S117" s="14"/>
      <c r="T117" s="14">
        <f t="shared" si="71"/>
        <v>148200</v>
      </c>
    </row>
    <row r="118" s="2" customFormat="1" ht="18" customHeight="1" spans="1:20">
      <c r="A118" s="11" t="s">
        <v>325</v>
      </c>
      <c r="B118" s="14">
        <v>1148</v>
      </c>
      <c r="C118" s="14">
        <v>2</v>
      </c>
      <c r="D118" s="14">
        <v>3</v>
      </c>
      <c r="E118" s="14">
        <f t="shared" si="67"/>
        <v>5</v>
      </c>
      <c r="F118" s="14">
        <v>1</v>
      </c>
      <c r="G118" s="14">
        <v>5</v>
      </c>
      <c r="H118" s="14">
        <v>2</v>
      </c>
      <c r="I118" s="14">
        <v>8</v>
      </c>
      <c r="J118" s="14"/>
      <c r="K118" s="14">
        <f>C118*2000*12+D118*2000*0.7*12</f>
        <v>98400</v>
      </c>
      <c r="L118" s="14">
        <v>8000</v>
      </c>
      <c r="M118" s="14">
        <f t="shared" si="68"/>
        <v>5000</v>
      </c>
      <c r="N118" s="14">
        <f t="shared" si="69"/>
        <v>1000</v>
      </c>
      <c r="O118" s="14">
        <f t="shared" si="73"/>
        <v>2880</v>
      </c>
      <c r="P118" s="14">
        <f t="shared" si="70"/>
        <v>115280</v>
      </c>
      <c r="Q118" s="14">
        <v>20000</v>
      </c>
      <c r="R118" s="14">
        <v>5000</v>
      </c>
      <c r="S118" s="14"/>
      <c r="T118" s="14">
        <f t="shared" si="71"/>
        <v>135280</v>
      </c>
    </row>
    <row r="119" s="2" customFormat="1" ht="18" customHeight="1" spans="1:20">
      <c r="A119" s="11" t="s">
        <v>326</v>
      </c>
      <c r="B119" s="14">
        <v>1014</v>
      </c>
      <c r="C119" s="14">
        <v>2</v>
      </c>
      <c r="D119" s="14">
        <v>3</v>
      </c>
      <c r="E119" s="14">
        <f t="shared" si="67"/>
        <v>5</v>
      </c>
      <c r="F119" s="14">
        <v>1</v>
      </c>
      <c r="G119" s="14">
        <v>4</v>
      </c>
      <c r="H119" s="14">
        <v>2</v>
      </c>
      <c r="I119" s="14">
        <v>7</v>
      </c>
      <c r="J119" s="14"/>
      <c r="K119" s="14">
        <f>C119*2000*12+D119*2000*0.7*12</f>
        <v>98400</v>
      </c>
      <c r="L119" s="14">
        <v>8000</v>
      </c>
      <c r="M119" s="14">
        <f t="shared" si="68"/>
        <v>4000</v>
      </c>
      <c r="N119" s="14">
        <f t="shared" si="69"/>
        <v>1000</v>
      </c>
      <c r="O119" s="14">
        <f t="shared" si="73"/>
        <v>2520</v>
      </c>
      <c r="P119" s="14">
        <f t="shared" si="70"/>
        <v>113920</v>
      </c>
      <c r="Q119" s="14">
        <v>20000</v>
      </c>
      <c r="R119" s="14">
        <v>5000</v>
      </c>
      <c r="S119" s="14"/>
      <c r="T119" s="14">
        <f t="shared" si="71"/>
        <v>133920</v>
      </c>
    </row>
    <row r="120" s="2" customFormat="1" ht="18" customHeight="1" spans="1:20">
      <c r="A120" s="11" t="s">
        <v>327</v>
      </c>
      <c r="B120" s="14">
        <v>3518</v>
      </c>
      <c r="C120" s="14">
        <v>2</v>
      </c>
      <c r="D120" s="14">
        <v>5</v>
      </c>
      <c r="E120" s="14">
        <f t="shared" si="67"/>
        <v>7</v>
      </c>
      <c r="F120" s="14">
        <v>1</v>
      </c>
      <c r="G120" s="14">
        <v>18</v>
      </c>
      <c r="H120" s="14">
        <v>2</v>
      </c>
      <c r="I120" s="14">
        <v>26</v>
      </c>
      <c r="J120" s="14"/>
      <c r="K120" s="14">
        <f t="shared" si="72"/>
        <v>145200</v>
      </c>
      <c r="L120" s="14">
        <v>10000</v>
      </c>
      <c r="M120" s="14">
        <f t="shared" si="68"/>
        <v>18000</v>
      </c>
      <c r="N120" s="14">
        <f t="shared" si="69"/>
        <v>1000</v>
      </c>
      <c r="O120" s="14">
        <f t="shared" si="73"/>
        <v>9360</v>
      </c>
      <c r="P120" s="14">
        <f t="shared" si="70"/>
        <v>183560</v>
      </c>
      <c r="Q120" s="14">
        <v>20000</v>
      </c>
      <c r="R120" s="14">
        <v>8000</v>
      </c>
      <c r="S120" s="14"/>
      <c r="T120" s="14">
        <f t="shared" si="71"/>
        <v>203560</v>
      </c>
    </row>
    <row r="121" s="2" customFormat="1" ht="18" customHeight="1" spans="1:20">
      <c r="A121" s="11" t="s">
        <v>328</v>
      </c>
      <c r="B121" s="14">
        <v>1644</v>
      </c>
      <c r="C121" s="14">
        <v>2</v>
      </c>
      <c r="D121" s="14">
        <v>4</v>
      </c>
      <c r="E121" s="14">
        <f t="shared" si="67"/>
        <v>6</v>
      </c>
      <c r="F121" s="14">
        <v>1</v>
      </c>
      <c r="G121" s="14">
        <v>8</v>
      </c>
      <c r="H121" s="14">
        <v>2</v>
      </c>
      <c r="I121" s="14">
        <v>13</v>
      </c>
      <c r="J121" s="14"/>
      <c r="K121" s="14">
        <f t="shared" si="72"/>
        <v>126720</v>
      </c>
      <c r="L121" s="14">
        <v>10000</v>
      </c>
      <c r="M121" s="14">
        <f t="shared" si="68"/>
        <v>8000</v>
      </c>
      <c r="N121" s="14">
        <f t="shared" si="69"/>
        <v>1000</v>
      </c>
      <c r="O121" s="14">
        <f t="shared" si="73"/>
        <v>4680</v>
      </c>
      <c r="P121" s="14">
        <f t="shared" si="70"/>
        <v>150400</v>
      </c>
      <c r="Q121" s="14">
        <v>20000</v>
      </c>
      <c r="R121" s="14">
        <v>8000</v>
      </c>
      <c r="S121" s="14"/>
      <c r="T121" s="14">
        <f t="shared" si="71"/>
        <v>170400</v>
      </c>
    </row>
    <row r="122" s="2" customFormat="1" ht="18" customHeight="1" spans="1:20">
      <c r="A122" s="11" t="s">
        <v>329</v>
      </c>
      <c r="B122" s="14">
        <v>1855</v>
      </c>
      <c r="C122" s="14">
        <v>2</v>
      </c>
      <c r="D122" s="14">
        <v>3</v>
      </c>
      <c r="E122" s="14">
        <f t="shared" si="67"/>
        <v>5</v>
      </c>
      <c r="F122" s="14">
        <v>1</v>
      </c>
      <c r="G122" s="14">
        <v>13</v>
      </c>
      <c r="H122" s="14">
        <v>2</v>
      </c>
      <c r="I122" s="14">
        <v>15</v>
      </c>
      <c r="J122" s="14"/>
      <c r="K122" s="14">
        <f t="shared" si="72"/>
        <v>108240</v>
      </c>
      <c r="L122" s="14">
        <v>10000</v>
      </c>
      <c r="M122" s="14">
        <f t="shared" si="68"/>
        <v>13000</v>
      </c>
      <c r="N122" s="14">
        <f t="shared" si="69"/>
        <v>1000</v>
      </c>
      <c r="O122" s="14">
        <f t="shared" si="73"/>
        <v>5400</v>
      </c>
      <c r="P122" s="14">
        <f t="shared" si="70"/>
        <v>137640</v>
      </c>
      <c r="Q122" s="14">
        <v>20000</v>
      </c>
      <c r="R122" s="14">
        <v>8000</v>
      </c>
      <c r="S122" s="14"/>
      <c r="T122" s="14">
        <f t="shared" si="71"/>
        <v>157640</v>
      </c>
    </row>
    <row r="123" s="2" customFormat="1" ht="18" customHeight="1" spans="1:20">
      <c r="A123" s="11" t="s">
        <v>330</v>
      </c>
      <c r="B123" s="14">
        <v>845</v>
      </c>
      <c r="C123" s="14">
        <v>2</v>
      </c>
      <c r="D123" s="14">
        <v>2</v>
      </c>
      <c r="E123" s="14">
        <f t="shared" si="67"/>
        <v>4</v>
      </c>
      <c r="F123" s="14">
        <v>1</v>
      </c>
      <c r="G123" s="14">
        <v>4</v>
      </c>
      <c r="H123" s="14">
        <v>2</v>
      </c>
      <c r="I123" s="14">
        <v>7</v>
      </c>
      <c r="J123" s="14"/>
      <c r="K123" s="14">
        <f>C123*2000*12+D123*2000*0.7*12</f>
        <v>81600</v>
      </c>
      <c r="L123" s="14">
        <v>8000</v>
      </c>
      <c r="M123" s="14">
        <f t="shared" si="68"/>
        <v>4000</v>
      </c>
      <c r="N123" s="14">
        <f t="shared" si="69"/>
        <v>1000</v>
      </c>
      <c r="O123" s="14">
        <f t="shared" si="73"/>
        <v>2520</v>
      </c>
      <c r="P123" s="14">
        <f t="shared" si="70"/>
        <v>97120</v>
      </c>
      <c r="Q123" s="14">
        <v>20000</v>
      </c>
      <c r="R123" s="14">
        <v>5000</v>
      </c>
      <c r="S123" s="14"/>
      <c r="T123" s="14">
        <f t="shared" si="71"/>
        <v>117120</v>
      </c>
    </row>
    <row r="124" s="2" customFormat="1" ht="18" customHeight="1" spans="1:20">
      <c r="A124" s="11" t="s">
        <v>331</v>
      </c>
      <c r="B124" s="14">
        <v>1344</v>
      </c>
      <c r="C124" s="14">
        <v>2</v>
      </c>
      <c r="D124" s="14">
        <v>3</v>
      </c>
      <c r="E124" s="14">
        <f t="shared" si="67"/>
        <v>5</v>
      </c>
      <c r="F124" s="14">
        <v>1</v>
      </c>
      <c r="G124" s="14">
        <v>5</v>
      </c>
      <c r="H124" s="14">
        <v>2</v>
      </c>
      <c r="I124" s="14">
        <v>10</v>
      </c>
      <c r="J124" s="14"/>
      <c r="K124" s="14">
        <f>C124*2000*12+D124*2000*0.7*12</f>
        <v>98400</v>
      </c>
      <c r="L124" s="14">
        <v>8000</v>
      </c>
      <c r="M124" s="14">
        <f t="shared" si="68"/>
        <v>5000</v>
      </c>
      <c r="N124" s="14">
        <f t="shared" si="69"/>
        <v>1000</v>
      </c>
      <c r="O124" s="14">
        <f t="shared" si="73"/>
        <v>3600</v>
      </c>
      <c r="P124" s="14">
        <f t="shared" si="70"/>
        <v>116000</v>
      </c>
      <c r="Q124" s="14">
        <v>20000</v>
      </c>
      <c r="R124" s="14">
        <v>5000</v>
      </c>
      <c r="S124" s="14"/>
      <c r="T124" s="14">
        <f t="shared" si="71"/>
        <v>136000</v>
      </c>
    </row>
    <row r="125" s="2" customFormat="1" ht="18" customHeight="1" spans="1:20">
      <c r="A125" s="11" t="s">
        <v>332</v>
      </c>
      <c r="B125" s="14">
        <v>1386</v>
      </c>
      <c r="C125" s="14">
        <v>2</v>
      </c>
      <c r="D125" s="14">
        <v>3</v>
      </c>
      <c r="E125" s="14">
        <f t="shared" si="67"/>
        <v>5</v>
      </c>
      <c r="F125" s="14">
        <v>1</v>
      </c>
      <c r="G125" s="14">
        <v>10</v>
      </c>
      <c r="H125" s="14">
        <v>2</v>
      </c>
      <c r="I125" s="14">
        <v>10</v>
      </c>
      <c r="J125" s="14"/>
      <c r="K125" s="14">
        <f>C125*2000*12+D125*2000*0.7*12</f>
        <v>98400</v>
      </c>
      <c r="L125" s="14">
        <v>8000</v>
      </c>
      <c r="M125" s="14">
        <f t="shared" si="68"/>
        <v>10000</v>
      </c>
      <c r="N125" s="14">
        <f t="shared" si="69"/>
        <v>1000</v>
      </c>
      <c r="O125" s="14">
        <f t="shared" si="73"/>
        <v>3600</v>
      </c>
      <c r="P125" s="14">
        <f t="shared" si="70"/>
        <v>121000</v>
      </c>
      <c r="Q125" s="14">
        <v>20000</v>
      </c>
      <c r="R125" s="14">
        <v>5000</v>
      </c>
      <c r="S125" s="14"/>
      <c r="T125" s="14">
        <f t="shared" si="71"/>
        <v>141000</v>
      </c>
    </row>
    <row r="126" s="2" customFormat="1" ht="18" customHeight="1" spans="1:20">
      <c r="A126" s="11" t="s">
        <v>333</v>
      </c>
      <c r="B126" s="14">
        <v>1060</v>
      </c>
      <c r="C126" s="14">
        <v>2</v>
      </c>
      <c r="D126" s="14">
        <v>3</v>
      </c>
      <c r="E126" s="14">
        <f t="shared" si="67"/>
        <v>5</v>
      </c>
      <c r="F126" s="14">
        <v>1</v>
      </c>
      <c r="G126" s="14">
        <v>8</v>
      </c>
      <c r="H126" s="14">
        <v>2</v>
      </c>
      <c r="I126" s="14">
        <v>8</v>
      </c>
      <c r="J126" s="14"/>
      <c r="K126" s="14">
        <f>C126*2000*12+D126*2000*0.7*12</f>
        <v>98400</v>
      </c>
      <c r="L126" s="14">
        <v>8000</v>
      </c>
      <c r="M126" s="14">
        <f t="shared" si="68"/>
        <v>8000</v>
      </c>
      <c r="N126" s="14">
        <f t="shared" si="69"/>
        <v>1000</v>
      </c>
      <c r="O126" s="14">
        <f t="shared" si="73"/>
        <v>2880</v>
      </c>
      <c r="P126" s="14">
        <f t="shared" si="70"/>
        <v>118280</v>
      </c>
      <c r="Q126" s="14">
        <v>20000</v>
      </c>
      <c r="R126" s="14">
        <v>5000</v>
      </c>
      <c r="S126" s="14"/>
      <c r="T126" s="14">
        <f t="shared" si="71"/>
        <v>138280</v>
      </c>
    </row>
    <row r="127" s="3" customFormat="1" ht="18" customHeight="1" spans="1:20">
      <c r="A127" s="12" t="s">
        <v>334</v>
      </c>
      <c r="B127" s="13">
        <f t="shared" ref="B127:J127" si="74">B128+B129+B130+B131+B132+B133+B134+B135+B136+B137+B138+B139+B140+B141+B142+B143+B144+B145+B146+B147+B148</f>
        <v>36682</v>
      </c>
      <c r="C127" s="13">
        <f t="shared" si="74"/>
        <v>42</v>
      </c>
      <c r="D127" s="13">
        <f t="shared" si="74"/>
        <v>71</v>
      </c>
      <c r="E127" s="13">
        <f t="shared" si="74"/>
        <v>113</v>
      </c>
      <c r="F127" s="13">
        <f t="shared" si="74"/>
        <v>21</v>
      </c>
      <c r="G127" s="13">
        <f t="shared" si="74"/>
        <v>214</v>
      </c>
      <c r="H127" s="13">
        <f t="shared" si="74"/>
        <v>41</v>
      </c>
      <c r="I127" s="13">
        <f t="shared" si="74"/>
        <v>272</v>
      </c>
      <c r="J127" s="13">
        <f t="shared" si="74"/>
        <v>96</v>
      </c>
      <c r="K127" s="13">
        <f>SUM(K128:K148)</f>
        <v>2371440</v>
      </c>
      <c r="L127" s="13">
        <f t="shared" ref="L127:T127" si="75">SUM(L128:L148)</f>
        <v>196000</v>
      </c>
      <c r="M127" s="13">
        <f t="shared" si="75"/>
        <v>214000</v>
      </c>
      <c r="N127" s="13">
        <f t="shared" si="75"/>
        <v>20500</v>
      </c>
      <c r="O127" s="13">
        <f t="shared" si="75"/>
        <v>97920</v>
      </c>
      <c r="P127" s="13">
        <f t="shared" si="75"/>
        <v>2899860</v>
      </c>
      <c r="Q127" s="13">
        <f t="shared" si="75"/>
        <v>430000</v>
      </c>
      <c r="R127" s="13">
        <f t="shared" si="75"/>
        <v>149000</v>
      </c>
      <c r="S127" s="13">
        <f t="shared" si="75"/>
        <v>50000</v>
      </c>
      <c r="T127" s="13">
        <f t="shared" si="75"/>
        <v>3379860</v>
      </c>
    </row>
    <row r="128" s="2" customFormat="1" ht="18" customHeight="1" spans="1:20">
      <c r="A128" s="11" t="s">
        <v>335</v>
      </c>
      <c r="B128" s="14">
        <v>2301</v>
      </c>
      <c r="C128" s="14">
        <v>2</v>
      </c>
      <c r="D128" s="14">
        <v>5</v>
      </c>
      <c r="E128" s="14">
        <f t="shared" ref="E128:E148" si="76">SUM(C128:D128)</f>
        <v>7</v>
      </c>
      <c r="F128" s="14">
        <v>1</v>
      </c>
      <c r="G128" s="14">
        <v>19</v>
      </c>
      <c r="H128" s="14">
        <v>2</v>
      </c>
      <c r="I128" s="14">
        <v>20</v>
      </c>
      <c r="J128" s="14">
        <v>96</v>
      </c>
      <c r="K128" s="14">
        <f t="shared" ref="K128:K137" si="77">C128*2200*12+D128*2200*0.7*12</f>
        <v>145200</v>
      </c>
      <c r="L128" s="14">
        <v>10000</v>
      </c>
      <c r="M128" s="14">
        <f t="shared" ref="M128:M148" si="78">G128*1000</f>
        <v>19000</v>
      </c>
      <c r="N128" s="14">
        <f t="shared" ref="N128:N148" si="79">H128*500</f>
        <v>1000</v>
      </c>
      <c r="O128" s="14">
        <f>I128*360</f>
        <v>7200</v>
      </c>
      <c r="P128" s="14">
        <f t="shared" ref="P128:P148" si="80">SUM(K128:O128)</f>
        <v>182400</v>
      </c>
      <c r="Q128" s="14">
        <v>20000</v>
      </c>
      <c r="R128" s="14">
        <v>8000</v>
      </c>
      <c r="S128" s="14"/>
      <c r="T128" s="14">
        <f>P128+Q128+S128</f>
        <v>202400</v>
      </c>
    </row>
    <row r="129" s="2" customFormat="1" ht="18" customHeight="1" spans="1:20">
      <c r="A129" s="11" t="s">
        <v>336</v>
      </c>
      <c r="B129" s="14">
        <v>2541</v>
      </c>
      <c r="C129" s="14">
        <v>2</v>
      </c>
      <c r="D129" s="14">
        <v>5</v>
      </c>
      <c r="E129" s="14">
        <f t="shared" si="76"/>
        <v>7</v>
      </c>
      <c r="F129" s="14">
        <v>1</v>
      </c>
      <c r="G129" s="14">
        <v>13</v>
      </c>
      <c r="H129" s="14">
        <v>2</v>
      </c>
      <c r="I129" s="14">
        <v>14</v>
      </c>
      <c r="J129" s="14"/>
      <c r="K129" s="14">
        <f t="shared" si="77"/>
        <v>145200</v>
      </c>
      <c r="L129" s="14">
        <v>10000</v>
      </c>
      <c r="M129" s="14">
        <f t="shared" si="78"/>
        <v>13000</v>
      </c>
      <c r="N129" s="14">
        <f t="shared" si="79"/>
        <v>1000</v>
      </c>
      <c r="O129" s="14">
        <f t="shared" ref="O129:O148" si="81">I129*360</f>
        <v>5040</v>
      </c>
      <c r="P129" s="14">
        <f t="shared" si="80"/>
        <v>174240</v>
      </c>
      <c r="Q129" s="14">
        <v>20000</v>
      </c>
      <c r="R129" s="14">
        <v>8000</v>
      </c>
      <c r="S129" s="14"/>
      <c r="T129" s="14">
        <f t="shared" ref="T129:T148" si="82">P129+Q129+S129</f>
        <v>194240</v>
      </c>
    </row>
    <row r="130" s="2" customFormat="1" ht="18" customHeight="1" spans="1:20">
      <c r="A130" s="11" t="s">
        <v>337</v>
      </c>
      <c r="B130" s="14">
        <v>2256</v>
      </c>
      <c r="C130" s="14">
        <v>2</v>
      </c>
      <c r="D130" s="14">
        <v>4</v>
      </c>
      <c r="E130" s="14">
        <f t="shared" si="76"/>
        <v>6</v>
      </c>
      <c r="F130" s="14">
        <v>1</v>
      </c>
      <c r="G130" s="14">
        <v>17</v>
      </c>
      <c r="H130" s="14">
        <v>2</v>
      </c>
      <c r="I130" s="14">
        <v>18</v>
      </c>
      <c r="J130" s="14"/>
      <c r="K130" s="14">
        <f t="shared" si="77"/>
        <v>126720</v>
      </c>
      <c r="L130" s="14">
        <v>10000</v>
      </c>
      <c r="M130" s="14">
        <f t="shared" si="78"/>
        <v>17000</v>
      </c>
      <c r="N130" s="14">
        <f t="shared" si="79"/>
        <v>1000</v>
      </c>
      <c r="O130" s="14">
        <f t="shared" si="81"/>
        <v>6480</v>
      </c>
      <c r="P130" s="14">
        <f t="shared" si="80"/>
        <v>161200</v>
      </c>
      <c r="Q130" s="14">
        <v>20000</v>
      </c>
      <c r="R130" s="14">
        <v>8000</v>
      </c>
      <c r="S130" s="14"/>
      <c r="T130" s="14">
        <f t="shared" si="82"/>
        <v>181200</v>
      </c>
    </row>
    <row r="131" s="2" customFormat="1" ht="18" customHeight="1" spans="1:20">
      <c r="A131" s="11" t="s">
        <v>338</v>
      </c>
      <c r="B131" s="14">
        <v>2421</v>
      </c>
      <c r="C131" s="14">
        <v>2</v>
      </c>
      <c r="D131" s="14">
        <v>4</v>
      </c>
      <c r="E131" s="14">
        <f t="shared" si="76"/>
        <v>6</v>
      </c>
      <c r="F131" s="14">
        <v>1</v>
      </c>
      <c r="G131" s="14">
        <v>12</v>
      </c>
      <c r="H131" s="14">
        <v>2</v>
      </c>
      <c r="I131" s="14">
        <v>17</v>
      </c>
      <c r="J131" s="14"/>
      <c r="K131" s="14">
        <f t="shared" si="77"/>
        <v>126720</v>
      </c>
      <c r="L131" s="14">
        <v>10000</v>
      </c>
      <c r="M131" s="14">
        <f t="shared" si="78"/>
        <v>12000</v>
      </c>
      <c r="N131" s="14">
        <f t="shared" si="79"/>
        <v>1000</v>
      </c>
      <c r="O131" s="14">
        <f t="shared" si="81"/>
        <v>6120</v>
      </c>
      <c r="P131" s="14">
        <f t="shared" si="80"/>
        <v>155840</v>
      </c>
      <c r="Q131" s="14">
        <v>20000</v>
      </c>
      <c r="R131" s="14">
        <v>8000</v>
      </c>
      <c r="S131" s="14"/>
      <c r="T131" s="14">
        <f t="shared" si="82"/>
        <v>175840</v>
      </c>
    </row>
    <row r="132" s="2" customFormat="1" ht="18" customHeight="1" spans="1:20">
      <c r="A132" s="11" t="s">
        <v>339</v>
      </c>
      <c r="B132" s="14">
        <v>1901</v>
      </c>
      <c r="C132" s="14">
        <v>2</v>
      </c>
      <c r="D132" s="14">
        <v>3</v>
      </c>
      <c r="E132" s="14">
        <f t="shared" si="76"/>
        <v>5</v>
      </c>
      <c r="F132" s="14">
        <v>1</v>
      </c>
      <c r="G132" s="14">
        <v>8</v>
      </c>
      <c r="H132" s="14">
        <v>2</v>
      </c>
      <c r="I132" s="14">
        <v>14</v>
      </c>
      <c r="J132" s="14"/>
      <c r="K132" s="14">
        <f t="shared" si="77"/>
        <v>108240</v>
      </c>
      <c r="L132" s="14">
        <v>10000</v>
      </c>
      <c r="M132" s="14">
        <f t="shared" si="78"/>
        <v>8000</v>
      </c>
      <c r="N132" s="14">
        <f t="shared" si="79"/>
        <v>1000</v>
      </c>
      <c r="O132" s="14">
        <f t="shared" si="81"/>
        <v>5040</v>
      </c>
      <c r="P132" s="14">
        <f t="shared" si="80"/>
        <v>132280</v>
      </c>
      <c r="Q132" s="14">
        <v>20000</v>
      </c>
      <c r="R132" s="14">
        <v>8000</v>
      </c>
      <c r="S132" s="14"/>
      <c r="T132" s="14">
        <f t="shared" si="82"/>
        <v>152280</v>
      </c>
    </row>
    <row r="133" s="2" customFormat="1" ht="18" customHeight="1" spans="1:20">
      <c r="A133" s="11" t="s">
        <v>340</v>
      </c>
      <c r="B133" s="14">
        <v>1853</v>
      </c>
      <c r="C133" s="14">
        <v>2</v>
      </c>
      <c r="D133" s="14">
        <v>3</v>
      </c>
      <c r="E133" s="14">
        <f t="shared" si="76"/>
        <v>5</v>
      </c>
      <c r="F133" s="14">
        <v>1</v>
      </c>
      <c r="G133" s="14">
        <v>6</v>
      </c>
      <c r="H133" s="14">
        <v>2</v>
      </c>
      <c r="I133" s="14">
        <v>13</v>
      </c>
      <c r="J133" s="14"/>
      <c r="K133" s="14">
        <f t="shared" si="77"/>
        <v>108240</v>
      </c>
      <c r="L133" s="14">
        <v>10000</v>
      </c>
      <c r="M133" s="14">
        <f t="shared" si="78"/>
        <v>6000</v>
      </c>
      <c r="N133" s="14">
        <f t="shared" si="79"/>
        <v>1000</v>
      </c>
      <c r="O133" s="14">
        <f t="shared" si="81"/>
        <v>4680</v>
      </c>
      <c r="P133" s="14">
        <f t="shared" si="80"/>
        <v>129920</v>
      </c>
      <c r="Q133" s="14">
        <v>20000</v>
      </c>
      <c r="R133" s="14">
        <v>8000</v>
      </c>
      <c r="S133" s="14"/>
      <c r="T133" s="14">
        <f t="shared" si="82"/>
        <v>149920</v>
      </c>
    </row>
    <row r="134" s="2" customFormat="1" ht="18" customHeight="1" spans="1:20">
      <c r="A134" s="11" t="s">
        <v>341</v>
      </c>
      <c r="B134" s="14">
        <v>1593</v>
      </c>
      <c r="C134" s="14">
        <v>2</v>
      </c>
      <c r="D134" s="14">
        <v>3</v>
      </c>
      <c r="E134" s="14">
        <f t="shared" si="76"/>
        <v>5</v>
      </c>
      <c r="F134" s="14">
        <v>1</v>
      </c>
      <c r="G134" s="14">
        <v>7</v>
      </c>
      <c r="H134" s="14">
        <v>2</v>
      </c>
      <c r="I134" s="14">
        <v>13</v>
      </c>
      <c r="J134" s="14"/>
      <c r="K134" s="14">
        <f t="shared" si="77"/>
        <v>108240</v>
      </c>
      <c r="L134" s="14">
        <v>10000</v>
      </c>
      <c r="M134" s="14">
        <f t="shared" si="78"/>
        <v>7000</v>
      </c>
      <c r="N134" s="14">
        <f t="shared" si="79"/>
        <v>1000</v>
      </c>
      <c r="O134" s="14">
        <f t="shared" si="81"/>
        <v>4680</v>
      </c>
      <c r="P134" s="14">
        <f t="shared" si="80"/>
        <v>130920</v>
      </c>
      <c r="Q134" s="14">
        <v>20000</v>
      </c>
      <c r="R134" s="14">
        <v>8000</v>
      </c>
      <c r="S134" s="14"/>
      <c r="T134" s="14">
        <f t="shared" si="82"/>
        <v>150920</v>
      </c>
    </row>
    <row r="135" s="2" customFormat="1" ht="18" customHeight="1" spans="1:20">
      <c r="A135" s="11" t="s">
        <v>342</v>
      </c>
      <c r="B135" s="14">
        <v>1642</v>
      </c>
      <c r="C135" s="14">
        <v>2</v>
      </c>
      <c r="D135" s="14">
        <v>3</v>
      </c>
      <c r="E135" s="14">
        <f t="shared" si="76"/>
        <v>5</v>
      </c>
      <c r="F135" s="14">
        <v>1</v>
      </c>
      <c r="G135" s="14">
        <v>6</v>
      </c>
      <c r="H135" s="14">
        <v>2</v>
      </c>
      <c r="I135" s="14">
        <v>12</v>
      </c>
      <c r="J135" s="14"/>
      <c r="K135" s="14">
        <f t="shared" si="77"/>
        <v>108240</v>
      </c>
      <c r="L135" s="14">
        <v>10000</v>
      </c>
      <c r="M135" s="14">
        <f t="shared" si="78"/>
        <v>6000</v>
      </c>
      <c r="N135" s="14">
        <f t="shared" si="79"/>
        <v>1000</v>
      </c>
      <c r="O135" s="14">
        <f t="shared" si="81"/>
        <v>4320</v>
      </c>
      <c r="P135" s="14">
        <f t="shared" si="80"/>
        <v>129560</v>
      </c>
      <c r="Q135" s="14">
        <v>20000</v>
      </c>
      <c r="R135" s="14">
        <v>8000</v>
      </c>
      <c r="S135" s="14"/>
      <c r="T135" s="14">
        <f t="shared" si="82"/>
        <v>149560</v>
      </c>
    </row>
    <row r="136" s="2" customFormat="1" ht="18" customHeight="1" spans="1:20">
      <c r="A136" s="11" t="s">
        <v>343</v>
      </c>
      <c r="B136" s="14">
        <v>2077</v>
      </c>
      <c r="C136" s="14">
        <v>2</v>
      </c>
      <c r="D136" s="14">
        <v>3</v>
      </c>
      <c r="E136" s="14">
        <f t="shared" si="76"/>
        <v>5</v>
      </c>
      <c r="F136" s="14">
        <v>1</v>
      </c>
      <c r="G136" s="14">
        <v>7</v>
      </c>
      <c r="H136" s="14">
        <v>2</v>
      </c>
      <c r="I136" s="14">
        <v>15</v>
      </c>
      <c r="J136" s="14"/>
      <c r="K136" s="14">
        <f t="shared" si="77"/>
        <v>108240</v>
      </c>
      <c r="L136" s="14">
        <v>10000</v>
      </c>
      <c r="M136" s="14">
        <f t="shared" si="78"/>
        <v>7000</v>
      </c>
      <c r="N136" s="14">
        <f t="shared" si="79"/>
        <v>1000</v>
      </c>
      <c r="O136" s="14">
        <f t="shared" si="81"/>
        <v>5400</v>
      </c>
      <c r="P136" s="14">
        <f t="shared" si="80"/>
        <v>131640</v>
      </c>
      <c r="Q136" s="14">
        <v>20000</v>
      </c>
      <c r="R136" s="14">
        <v>8000</v>
      </c>
      <c r="S136" s="14"/>
      <c r="T136" s="14">
        <f t="shared" si="82"/>
        <v>151640</v>
      </c>
    </row>
    <row r="137" s="2" customFormat="1" ht="18" customHeight="1" spans="1:20">
      <c r="A137" s="11" t="s">
        <v>344</v>
      </c>
      <c r="B137" s="14">
        <v>1805</v>
      </c>
      <c r="C137" s="14">
        <v>2</v>
      </c>
      <c r="D137" s="14">
        <v>3</v>
      </c>
      <c r="E137" s="14">
        <f t="shared" si="76"/>
        <v>5</v>
      </c>
      <c r="F137" s="14">
        <v>1</v>
      </c>
      <c r="G137" s="14">
        <v>7</v>
      </c>
      <c r="H137" s="14">
        <v>2</v>
      </c>
      <c r="I137" s="14">
        <v>14</v>
      </c>
      <c r="J137" s="14"/>
      <c r="K137" s="14">
        <f t="shared" si="77"/>
        <v>108240</v>
      </c>
      <c r="L137" s="14">
        <v>10000</v>
      </c>
      <c r="M137" s="14">
        <f t="shared" si="78"/>
        <v>7000</v>
      </c>
      <c r="N137" s="14">
        <f t="shared" si="79"/>
        <v>1000</v>
      </c>
      <c r="O137" s="14">
        <f t="shared" si="81"/>
        <v>5040</v>
      </c>
      <c r="P137" s="14">
        <f t="shared" si="80"/>
        <v>131280</v>
      </c>
      <c r="Q137" s="14">
        <v>20000</v>
      </c>
      <c r="R137" s="14">
        <v>8000</v>
      </c>
      <c r="S137" s="14"/>
      <c r="T137" s="14">
        <f t="shared" si="82"/>
        <v>151280</v>
      </c>
    </row>
    <row r="138" s="2" customFormat="1" ht="18" customHeight="1" spans="1:20">
      <c r="A138" s="11" t="s">
        <v>345</v>
      </c>
      <c r="B138" s="14">
        <v>1046</v>
      </c>
      <c r="C138" s="14">
        <v>2</v>
      </c>
      <c r="D138" s="14">
        <v>3</v>
      </c>
      <c r="E138" s="14">
        <f t="shared" si="76"/>
        <v>5</v>
      </c>
      <c r="F138" s="14">
        <v>1</v>
      </c>
      <c r="G138" s="14">
        <v>9</v>
      </c>
      <c r="H138" s="14">
        <v>2</v>
      </c>
      <c r="I138" s="14">
        <v>9</v>
      </c>
      <c r="J138" s="14"/>
      <c r="K138" s="14">
        <f>C138*2000*12+D138*2000*0.7*12</f>
        <v>98400</v>
      </c>
      <c r="L138" s="14">
        <v>8000</v>
      </c>
      <c r="M138" s="14">
        <f t="shared" si="78"/>
        <v>9000</v>
      </c>
      <c r="N138" s="14">
        <f t="shared" si="79"/>
        <v>1000</v>
      </c>
      <c r="O138" s="14">
        <f t="shared" si="81"/>
        <v>3240</v>
      </c>
      <c r="P138" s="14">
        <f t="shared" si="80"/>
        <v>119640</v>
      </c>
      <c r="Q138" s="14">
        <v>20000</v>
      </c>
      <c r="R138" s="14">
        <v>5000</v>
      </c>
      <c r="S138" s="14"/>
      <c r="T138" s="14">
        <f t="shared" si="82"/>
        <v>139640</v>
      </c>
    </row>
    <row r="139" s="2" customFormat="1" ht="18" customHeight="1" spans="1:20">
      <c r="A139" s="11" t="s">
        <v>346</v>
      </c>
      <c r="B139" s="14">
        <v>1313</v>
      </c>
      <c r="C139" s="14">
        <v>2</v>
      </c>
      <c r="D139" s="14">
        <v>3</v>
      </c>
      <c r="E139" s="14">
        <f t="shared" si="76"/>
        <v>5</v>
      </c>
      <c r="F139" s="14">
        <v>1</v>
      </c>
      <c r="G139" s="14">
        <v>8</v>
      </c>
      <c r="H139" s="14">
        <v>2</v>
      </c>
      <c r="I139" s="14">
        <v>8</v>
      </c>
      <c r="J139" s="14"/>
      <c r="K139" s="14">
        <f>C139*2000*12+D139*2000*0.7*12</f>
        <v>98400</v>
      </c>
      <c r="L139" s="14">
        <v>8000</v>
      </c>
      <c r="M139" s="14">
        <f t="shared" si="78"/>
        <v>8000</v>
      </c>
      <c r="N139" s="14">
        <f t="shared" si="79"/>
        <v>1000</v>
      </c>
      <c r="O139" s="14">
        <f t="shared" si="81"/>
        <v>2880</v>
      </c>
      <c r="P139" s="14">
        <f t="shared" si="80"/>
        <v>118280</v>
      </c>
      <c r="Q139" s="14">
        <v>20000</v>
      </c>
      <c r="R139" s="14">
        <v>5000</v>
      </c>
      <c r="S139" s="14"/>
      <c r="T139" s="14">
        <f t="shared" si="82"/>
        <v>138280</v>
      </c>
    </row>
    <row r="140" s="2" customFormat="1" ht="18" customHeight="1" spans="1:20">
      <c r="A140" s="11" t="s">
        <v>347</v>
      </c>
      <c r="B140" s="14">
        <v>1945</v>
      </c>
      <c r="C140" s="14">
        <v>2</v>
      </c>
      <c r="D140" s="14">
        <v>3</v>
      </c>
      <c r="E140" s="14">
        <f t="shared" si="76"/>
        <v>5</v>
      </c>
      <c r="F140" s="14">
        <v>1</v>
      </c>
      <c r="G140" s="14">
        <v>9</v>
      </c>
      <c r="H140" s="14">
        <v>2</v>
      </c>
      <c r="I140" s="14">
        <v>18</v>
      </c>
      <c r="J140" s="14"/>
      <c r="K140" s="14">
        <f t="shared" ref="K140:K145" si="83">C140*2200*12+D140*2200*0.7*12</f>
        <v>108240</v>
      </c>
      <c r="L140" s="14">
        <v>10000</v>
      </c>
      <c r="M140" s="14">
        <f t="shared" si="78"/>
        <v>9000</v>
      </c>
      <c r="N140" s="14">
        <f t="shared" si="79"/>
        <v>1000</v>
      </c>
      <c r="O140" s="14">
        <f t="shared" si="81"/>
        <v>6480</v>
      </c>
      <c r="P140" s="14">
        <f t="shared" si="80"/>
        <v>134720</v>
      </c>
      <c r="Q140" s="14">
        <v>20000</v>
      </c>
      <c r="R140" s="14">
        <v>8000</v>
      </c>
      <c r="S140" s="14"/>
      <c r="T140" s="14">
        <f t="shared" si="82"/>
        <v>154720</v>
      </c>
    </row>
    <row r="141" s="2" customFormat="1" ht="18" customHeight="1" spans="1:20">
      <c r="A141" s="11" t="s">
        <v>348</v>
      </c>
      <c r="B141" s="14">
        <v>1081</v>
      </c>
      <c r="C141" s="14">
        <v>2</v>
      </c>
      <c r="D141" s="14">
        <v>3</v>
      </c>
      <c r="E141" s="14">
        <f t="shared" si="76"/>
        <v>5</v>
      </c>
      <c r="F141" s="14">
        <v>1</v>
      </c>
      <c r="G141" s="14">
        <v>12</v>
      </c>
      <c r="H141" s="14">
        <v>2</v>
      </c>
      <c r="I141" s="14">
        <v>12</v>
      </c>
      <c r="J141" s="14"/>
      <c r="K141" s="14">
        <f>C141*2000*12+D141*2000*0.7*12</f>
        <v>98400</v>
      </c>
      <c r="L141" s="14">
        <v>8000</v>
      </c>
      <c r="M141" s="14">
        <f t="shared" si="78"/>
        <v>12000</v>
      </c>
      <c r="N141" s="14">
        <f t="shared" si="79"/>
        <v>1000</v>
      </c>
      <c r="O141" s="14">
        <f t="shared" si="81"/>
        <v>4320</v>
      </c>
      <c r="P141" s="14">
        <f t="shared" si="80"/>
        <v>123720</v>
      </c>
      <c r="Q141" s="14">
        <v>20000</v>
      </c>
      <c r="R141" s="14">
        <v>5000</v>
      </c>
      <c r="S141" s="14"/>
      <c r="T141" s="14">
        <f t="shared" si="82"/>
        <v>143720</v>
      </c>
    </row>
    <row r="142" s="2" customFormat="1" ht="18" customHeight="1" spans="1:20">
      <c r="A142" s="11" t="s">
        <v>349</v>
      </c>
      <c r="B142" s="14">
        <v>2501</v>
      </c>
      <c r="C142" s="14">
        <v>2</v>
      </c>
      <c r="D142" s="14">
        <v>4</v>
      </c>
      <c r="E142" s="14">
        <f t="shared" si="76"/>
        <v>6</v>
      </c>
      <c r="F142" s="14">
        <v>1</v>
      </c>
      <c r="G142" s="14">
        <v>16</v>
      </c>
      <c r="H142" s="14">
        <v>2</v>
      </c>
      <c r="I142" s="14">
        <v>15</v>
      </c>
      <c r="J142" s="14"/>
      <c r="K142" s="14">
        <f t="shared" si="83"/>
        <v>126720</v>
      </c>
      <c r="L142" s="14">
        <v>10000</v>
      </c>
      <c r="M142" s="14">
        <f t="shared" si="78"/>
        <v>16000</v>
      </c>
      <c r="N142" s="14">
        <f t="shared" si="79"/>
        <v>1000</v>
      </c>
      <c r="O142" s="14">
        <f t="shared" si="81"/>
        <v>5400</v>
      </c>
      <c r="P142" s="14">
        <f t="shared" si="80"/>
        <v>159120</v>
      </c>
      <c r="Q142" s="14">
        <v>20000</v>
      </c>
      <c r="R142" s="14">
        <v>8000</v>
      </c>
      <c r="S142" s="14"/>
      <c r="T142" s="14">
        <f t="shared" si="82"/>
        <v>179120</v>
      </c>
    </row>
    <row r="143" s="2" customFormat="1" ht="18" customHeight="1" spans="1:20">
      <c r="A143" s="11" t="s">
        <v>350</v>
      </c>
      <c r="B143" s="14">
        <v>1410</v>
      </c>
      <c r="C143" s="14">
        <v>2</v>
      </c>
      <c r="D143" s="14">
        <v>3</v>
      </c>
      <c r="E143" s="14">
        <f t="shared" si="76"/>
        <v>5</v>
      </c>
      <c r="F143" s="14">
        <v>1</v>
      </c>
      <c r="G143" s="14">
        <v>8</v>
      </c>
      <c r="H143" s="14">
        <v>2</v>
      </c>
      <c r="I143" s="14">
        <v>9</v>
      </c>
      <c r="J143" s="14"/>
      <c r="K143" s="14">
        <f>C143*2000*12+D143*2000*0.7*12</f>
        <v>98400</v>
      </c>
      <c r="L143" s="14">
        <v>8000</v>
      </c>
      <c r="M143" s="14">
        <f t="shared" si="78"/>
        <v>8000</v>
      </c>
      <c r="N143" s="14">
        <f t="shared" si="79"/>
        <v>1000</v>
      </c>
      <c r="O143" s="14">
        <f t="shared" si="81"/>
        <v>3240</v>
      </c>
      <c r="P143" s="14">
        <f t="shared" si="80"/>
        <v>118640</v>
      </c>
      <c r="Q143" s="14">
        <v>20000</v>
      </c>
      <c r="R143" s="14">
        <v>5000</v>
      </c>
      <c r="S143" s="14"/>
      <c r="T143" s="14">
        <f t="shared" si="82"/>
        <v>138640</v>
      </c>
    </row>
    <row r="144" s="2" customFormat="1" ht="18" customHeight="1" spans="1:20">
      <c r="A144" s="11" t="s">
        <v>351</v>
      </c>
      <c r="B144" s="14">
        <v>981</v>
      </c>
      <c r="C144" s="14">
        <v>2</v>
      </c>
      <c r="D144" s="14">
        <v>2</v>
      </c>
      <c r="E144" s="14">
        <f t="shared" si="76"/>
        <v>4</v>
      </c>
      <c r="F144" s="14">
        <v>1</v>
      </c>
      <c r="G144" s="14">
        <v>10</v>
      </c>
      <c r="H144" s="14">
        <v>2</v>
      </c>
      <c r="I144" s="14">
        <v>6</v>
      </c>
      <c r="J144" s="14"/>
      <c r="K144" s="14">
        <f>C144*2000*12+D144*2000*0.7*12</f>
        <v>81600</v>
      </c>
      <c r="L144" s="14">
        <v>8000</v>
      </c>
      <c r="M144" s="14">
        <f t="shared" si="78"/>
        <v>10000</v>
      </c>
      <c r="N144" s="14">
        <f t="shared" si="79"/>
        <v>1000</v>
      </c>
      <c r="O144" s="14">
        <f t="shared" si="81"/>
        <v>2160</v>
      </c>
      <c r="P144" s="14">
        <f t="shared" si="80"/>
        <v>102760</v>
      </c>
      <c r="Q144" s="14">
        <v>20000</v>
      </c>
      <c r="R144" s="14">
        <v>5000</v>
      </c>
      <c r="S144" s="14"/>
      <c r="T144" s="14">
        <f t="shared" si="82"/>
        <v>122760</v>
      </c>
    </row>
    <row r="145" s="2" customFormat="1" ht="18" customHeight="1" spans="1:20">
      <c r="A145" s="11" t="s">
        <v>352</v>
      </c>
      <c r="B145" s="14">
        <v>2386</v>
      </c>
      <c r="C145" s="14">
        <v>2</v>
      </c>
      <c r="D145" s="14">
        <v>5</v>
      </c>
      <c r="E145" s="14">
        <f t="shared" si="76"/>
        <v>7</v>
      </c>
      <c r="F145" s="14">
        <v>1</v>
      </c>
      <c r="G145" s="14">
        <v>19</v>
      </c>
      <c r="H145" s="14">
        <v>2</v>
      </c>
      <c r="I145" s="14">
        <v>19</v>
      </c>
      <c r="J145" s="14"/>
      <c r="K145" s="14">
        <f t="shared" si="83"/>
        <v>145200</v>
      </c>
      <c r="L145" s="14">
        <v>10000</v>
      </c>
      <c r="M145" s="14">
        <f t="shared" si="78"/>
        <v>19000</v>
      </c>
      <c r="N145" s="14">
        <f t="shared" si="79"/>
        <v>1000</v>
      </c>
      <c r="O145" s="14">
        <f t="shared" si="81"/>
        <v>6840</v>
      </c>
      <c r="P145" s="14">
        <f t="shared" si="80"/>
        <v>182040</v>
      </c>
      <c r="Q145" s="14">
        <v>20000</v>
      </c>
      <c r="R145" s="14">
        <v>8000</v>
      </c>
      <c r="S145" s="14"/>
      <c r="T145" s="14">
        <f t="shared" si="82"/>
        <v>202040</v>
      </c>
    </row>
    <row r="146" s="2" customFormat="1" ht="18" customHeight="1" spans="1:20">
      <c r="A146" s="11" t="s">
        <v>353</v>
      </c>
      <c r="B146" s="14">
        <v>1189</v>
      </c>
      <c r="C146" s="14">
        <v>2</v>
      </c>
      <c r="D146" s="14">
        <v>4</v>
      </c>
      <c r="E146" s="14">
        <f t="shared" si="76"/>
        <v>6</v>
      </c>
      <c r="F146" s="14">
        <v>1</v>
      </c>
      <c r="G146" s="14">
        <v>13</v>
      </c>
      <c r="H146" s="14">
        <v>2</v>
      </c>
      <c r="I146" s="14">
        <v>13</v>
      </c>
      <c r="J146" s="14"/>
      <c r="K146" s="14">
        <f>C146*2000*12+D146*2000*0.7*12</f>
        <v>115200</v>
      </c>
      <c r="L146" s="14">
        <v>8000</v>
      </c>
      <c r="M146" s="14">
        <f t="shared" si="78"/>
        <v>13000</v>
      </c>
      <c r="N146" s="14">
        <f t="shared" si="79"/>
        <v>1000</v>
      </c>
      <c r="O146" s="14">
        <f t="shared" si="81"/>
        <v>4680</v>
      </c>
      <c r="P146" s="14">
        <f t="shared" si="80"/>
        <v>141880</v>
      </c>
      <c r="Q146" s="14">
        <v>20000</v>
      </c>
      <c r="R146" s="14">
        <v>5000</v>
      </c>
      <c r="S146" s="14"/>
      <c r="T146" s="14">
        <f t="shared" si="82"/>
        <v>161880</v>
      </c>
    </row>
    <row r="147" s="2" customFormat="1" ht="18" customHeight="1" spans="1:20">
      <c r="A147" s="11" t="s">
        <v>354</v>
      </c>
      <c r="B147" s="14">
        <v>932</v>
      </c>
      <c r="C147" s="14">
        <v>2</v>
      </c>
      <c r="D147" s="14">
        <v>2</v>
      </c>
      <c r="E147" s="14">
        <f t="shared" si="76"/>
        <v>4</v>
      </c>
      <c r="F147" s="14">
        <v>1</v>
      </c>
      <c r="G147" s="14">
        <v>8</v>
      </c>
      <c r="H147" s="14">
        <v>2</v>
      </c>
      <c r="I147" s="14">
        <v>8</v>
      </c>
      <c r="J147" s="14"/>
      <c r="K147" s="14">
        <f>C147*2000*12+D147*2000*0.7*12</f>
        <v>81600</v>
      </c>
      <c r="L147" s="14">
        <v>8000</v>
      </c>
      <c r="M147" s="14">
        <f t="shared" si="78"/>
        <v>8000</v>
      </c>
      <c r="N147" s="14">
        <f t="shared" si="79"/>
        <v>1000</v>
      </c>
      <c r="O147" s="14">
        <f t="shared" si="81"/>
        <v>2880</v>
      </c>
      <c r="P147" s="14">
        <f t="shared" si="80"/>
        <v>101480</v>
      </c>
      <c r="Q147" s="14">
        <v>20000</v>
      </c>
      <c r="R147" s="14">
        <v>5000</v>
      </c>
      <c r="S147" s="14"/>
      <c r="T147" s="14">
        <f t="shared" si="82"/>
        <v>121480</v>
      </c>
    </row>
    <row r="148" s="2" customFormat="1" ht="18" customHeight="1" spans="1:20">
      <c r="A148" s="11" t="s">
        <v>262</v>
      </c>
      <c r="B148" s="14">
        <v>1508</v>
      </c>
      <c r="C148" s="14">
        <v>2</v>
      </c>
      <c r="D148" s="14">
        <v>3</v>
      </c>
      <c r="E148" s="14">
        <f t="shared" si="76"/>
        <v>5</v>
      </c>
      <c r="F148" s="14">
        <v>1</v>
      </c>
      <c r="G148" s="14"/>
      <c r="H148" s="14">
        <v>1</v>
      </c>
      <c r="I148" s="14">
        <v>5</v>
      </c>
      <c r="J148" s="14"/>
      <c r="K148" s="14">
        <f>C148*2500*12+2*2000*12+1500*12</f>
        <v>126000</v>
      </c>
      <c r="L148" s="14">
        <v>10000</v>
      </c>
      <c r="M148" s="14">
        <f t="shared" si="78"/>
        <v>0</v>
      </c>
      <c r="N148" s="14">
        <f t="shared" si="79"/>
        <v>500</v>
      </c>
      <c r="O148" s="14">
        <f t="shared" si="81"/>
        <v>1800</v>
      </c>
      <c r="P148" s="14">
        <f t="shared" si="80"/>
        <v>138300</v>
      </c>
      <c r="Q148" s="14">
        <v>30000</v>
      </c>
      <c r="R148" s="14">
        <v>10000</v>
      </c>
      <c r="S148" s="14">
        <v>50000</v>
      </c>
      <c r="T148" s="14">
        <f t="shared" si="82"/>
        <v>218300</v>
      </c>
    </row>
    <row r="149" s="3" customFormat="1" ht="18" customHeight="1" spans="1:20">
      <c r="A149" s="12" t="s">
        <v>355</v>
      </c>
      <c r="B149" s="13">
        <f t="shared" ref="B149:J149" si="84">B150+B151+B152+B153+B154+B155+B156+B157+B158+B159+B160+B161+B162+B163+B164+B165</f>
        <v>27290</v>
      </c>
      <c r="C149" s="13">
        <f t="shared" si="84"/>
        <v>32</v>
      </c>
      <c r="D149" s="13">
        <f t="shared" si="84"/>
        <v>55</v>
      </c>
      <c r="E149" s="13">
        <f t="shared" si="84"/>
        <v>87</v>
      </c>
      <c r="F149" s="13">
        <f t="shared" si="84"/>
        <v>16</v>
      </c>
      <c r="G149" s="13">
        <f t="shared" si="84"/>
        <v>212</v>
      </c>
      <c r="H149" s="13">
        <f t="shared" si="84"/>
        <v>31</v>
      </c>
      <c r="I149" s="13">
        <f t="shared" si="84"/>
        <v>220</v>
      </c>
      <c r="J149" s="13">
        <f t="shared" si="84"/>
        <v>66</v>
      </c>
      <c r="K149" s="13">
        <f>SUM(K150:K165)</f>
        <v>1828080</v>
      </c>
      <c r="L149" s="13">
        <f t="shared" ref="L149:T149" si="85">SUM(L150:L165)</f>
        <v>150000</v>
      </c>
      <c r="M149" s="13">
        <f t="shared" si="85"/>
        <v>212000</v>
      </c>
      <c r="N149" s="13">
        <f t="shared" si="85"/>
        <v>15500</v>
      </c>
      <c r="O149" s="13">
        <f t="shared" si="85"/>
        <v>79200</v>
      </c>
      <c r="P149" s="13">
        <f t="shared" si="85"/>
        <v>2284780</v>
      </c>
      <c r="Q149" s="13">
        <f t="shared" si="85"/>
        <v>330000</v>
      </c>
      <c r="R149" s="13">
        <f t="shared" si="85"/>
        <v>115000</v>
      </c>
      <c r="S149" s="13">
        <f t="shared" si="85"/>
        <v>50000</v>
      </c>
      <c r="T149" s="13">
        <f t="shared" si="85"/>
        <v>2664780</v>
      </c>
    </row>
    <row r="150" s="2" customFormat="1" ht="18" customHeight="1" spans="1:20">
      <c r="A150" s="11" t="s">
        <v>356</v>
      </c>
      <c r="B150" s="14">
        <v>1621</v>
      </c>
      <c r="C150" s="14">
        <v>2</v>
      </c>
      <c r="D150" s="14">
        <v>4</v>
      </c>
      <c r="E150" s="14">
        <f t="shared" ref="E150:E165" si="86">SUM(C150:D150)</f>
        <v>6</v>
      </c>
      <c r="F150" s="14">
        <v>1</v>
      </c>
      <c r="G150" s="14">
        <v>22</v>
      </c>
      <c r="H150" s="14">
        <v>2</v>
      </c>
      <c r="I150" s="14">
        <v>17</v>
      </c>
      <c r="J150" s="14">
        <v>66</v>
      </c>
      <c r="K150" s="14">
        <f>C150*2200*12+D150*2200*0.7*12</f>
        <v>126720</v>
      </c>
      <c r="L150" s="14">
        <v>10000</v>
      </c>
      <c r="M150" s="14">
        <f t="shared" ref="M150:M165" si="87">G150*1000</f>
        <v>22000</v>
      </c>
      <c r="N150" s="14">
        <f t="shared" ref="N150:N165" si="88">H150*500</f>
        <v>1000</v>
      </c>
      <c r="O150" s="14">
        <f>I150*360</f>
        <v>6120</v>
      </c>
      <c r="P150" s="14">
        <f t="shared" ref="P150:P165" si="89">SUM(K150:O150)</f>
        <v>165840</v>
      </c>
      <c r="Q150" s="14">
        <v>20000</v>
      </c>
      <c r="R150" s="14">
        <v>8000</v>
      </c>
      <c r="S150" s="14"/>
      <c r="T150" s="14">
        <f t="shared" ref="T150:T165" si="90">P150+Q150+S150</f>
        <v>185840</v>
      </c>
    </row>
    <row r="151" s="2" customFormat="1" ht="18" customHeight="1" spans="1:20">
      <c r="A151" s="11" t="s">
        <v>357</v>
      </c>
      <c r="B151" s="14">
        <v>1430</v>
      </c>
      <c r="C151" s="14">
        <v>2</v>
      </c>
      <c r="D151" s="14">
        <v>4</v>
      </c>
      <c r="E151" s="14">
        <f t="shared" si="86"/>
        <v>6</v>
      </c>
      <c r="F151" s="14">
        <v>1</v>
      </c>
      <c r="G151" s="14">
        <v>17</v>
      </c>
      <c r="H151" s="14">
        <v>2</v>
      </c>
      <c r="I151" s="14">
        <v>17</v>
      </c>
      <c r="J151" s="14"/>
      <c r="K151" s="14">
        <f>C151*2000*12+D151*2000*0.7*12</f>
        <v>115200</v>
      </c>
      <c r="L151" s="14">
        <v>8000</v>
      </c>
      <c r="M151" s="14">
        <f t="shared" si="87"/>
        <v>17000</v>
      </c>
      <c r="N151" s="14">
        <f t="shared" si="88"/>
        <v>1000</v>
      </c>
      <c r="O151" s="14">
        <f t="shared" ref="O151:O165" si="91">I151*360</f>
        <v>6120</v>
      </c>
      <c r="P151" s="14">
        <f t="shared" si="89"/>
        <v>147320</v>
      </c>
      <c r="Q151" s="14">
        <v>20000</v>
      </c>
      <c r="R151" s="14">
        <v>5000</v>
      </c>
      <c r="S151" s="14"/>
      <c r="T151" s="14">
        <f t="shared" si="90"/>
        <v>167320</v>
      </c>
    </row>
    <row r="152" s="2" customFormat="1" ht="18" customHeight="1" spans="1:20">
      <c r="A152" s="11" t="s">
        <v>358</v>
      </c>
      <c r="B152" s="14">
        <v>1678</v>
      </c>
      <c r="C152" s="14">
        <v>2</v>
      </c>
      <c r="D152" s="14">
        <v>4</v>
      </c>
      <c r="E152" s="14">
        <f t="shared" si="86"/>
        <v>6</v>
      </c>
      <c r="F152" s="14">
        <v>1</v>
      </c>
      <c r="G152" s="14">
        <v>24</v>
      </c>
      <c r="H152" s="14">
        <v>2</v>
      </c>
      <c r="I152" s="14">
        <v>16</v>
      </c>
      <c r="J152" s="14"/>
      <c r="K152" s="14">
        <f>C152*2200*12+D152*2200*0.7*12</f>
        <v>126720</v>
      </c>
      <c r="L152" s="14">
        <v>10000</v>
      </c>
      <c r="M152" s="14">
        <f t="shared" si="87"/>
        <v>24000</v>
      </c>
      <c r="N152" s="14">
        <f t="shared" si="88"/>
        <v>1000</v>
      </c>
      <c r="O152" s="14">
        <f t="shared" si="91"/>
        <v>5760</v>
      </c>
      <c r="P152" s="14">
        <f t="shared" si="89"/>
        <v>167480</v>
      </c>
      <c r="Q152" s="14">
        <v>20000</v>
      </c>
      <c r="R152" s="14">
        <v>8000</v>
      </c>
      <c r="S152" s="14"/>
      <c r="T152" s="14">
        <f t="shared" si="90"/>
        <v>187480</v>
      </c>
    </row>
    <row r="153" s="2" customFormat="1" ht="18" customHeight="1" spans="1:20">
      <c r="A153" s="11" t="s">
        <v>359</v>
      </c>
      <c r="B153" s="14">
        <v>2756</v>
      </c>
      <c r="C153" s="14">
        <v>2</v>
      </c>
      <c r="D153" s="14">
        <v>4</v>
      </c>
      <c r="E153" s="14">
        <f t="shared" si="86"/>
        <v>6</v>
      </c>
      <c r="F153" s="14">
        <v>1</v>
      </c>
      <c r="G153" s="14">
        <v>18</v>
      </c>
      <c r="H153" s="14">
        <v>2</v>
      </c>
      <c r="I153" s="14">
        <v>21</v>
      </c>
      <c r="J153" s="14"/>
      <c r="K153" s="14">
        <f>C153*2200*12+D153*2200*0.7*12</f>
        <v>126720</v>
      </c>
      <c r="L153" s="14">
        <v>10000</v>
      </c>
      <c r="M153" s="14">
        <f t="shared" si="87"/>
        <v>18000</v>
      </c>
      <c r="N153" s="14">
        <f t="shared" si="88"/>
        <v>1000</v>
      </c>
      <c r="O153" s="14">
        <f t="shared" si="91"/>
        <v>7560</v>
      </c>
      <c r="P153" s="14">
        <f t="shared" si="89"/>
        <v>163280</v>
      </c>
      <c r="Q153" s="14">
        <v>20000</v>
      </c>
      <c r="R153" s="14">
        <v>8000</v>
      </c>
      <c r="S153" s="14"/>
      <c r="T153" s="14">
        <f t="shared" si="90"/>
        <v>183280</v>
      </c>
    </row>
    <row r="154" s="2" customFormat="1" ht="18" customHeight="1" spans="1:20">
      <c r="A154" s="11" t="s">
        <v>360</v>
      </c>
      <c r="B154" s="14">
        <v>1236</v>
      </c>
      <c r="C154" s="14">
        <v>2</v>
      </c>
      <c r="D154" s="14">
        <v>3</v>
      </c>
      <c r="E154" s="14">
        <f t="shared" si="86"/>
        <v>5</v>
      </c>
      <c r="F154" s="14">
        <v>1</v>
      </c>
      <c r="G154" s="14">
        <v>14</v>
      </c>
      <c r="H154" s="14">
        <v>2</v>
      </c>
      <c r="I154" s="14">
        <v>14</v>
      </c>
      <c r="J154" s="14"/>
      <c r="K154" s="14">
        <f>C154*2000*12+D154*2000*0.7*12</f>
        <v>98400</v>
      </c>
      <c r="L154" s="14">
        <v>8000</v>
      </c>
      <c r="M154" s="14">
        <f t="shared" si="87"/>
        <v>14000</v>
      </c>
      <c r="N154" s="14">
        <f t="shared" si="88"/>
        <v>1000</v>
      </c>
      <c r="O154" s="14">
        <f t="shared" si="91"/>
        <v>5040</v>
      </c>
      <c r="P154" s="14">
        <f t="shared" si="89"/>
        <v>126440</v>
      </c>
      <c r="Q154" s="14">
        <v>20000</v>
      </c>
      <c r="R154" s="14">
        <v>5000</v>
      </c>
      <c r="S154" s="14"/>
      <c r="T154" s="14">
        <f t="shared" si="90"/>
        <v>146440</v>
      </c>
    </row>
    <row r="155" s="2" customFormat="1" ht="18" customHeight="1" spans="1:20">
      <c r="A155" s="11" t="s">
        <v>361</v>
      </c>
      <c r="B155" s="14">
        <v>1635</v>
      </c>
      <c r="C155" s="14">
        <v>2</v>
      </c>
      <c r="D155" s="14">
        <v>3</v>
      </c>
      <c r="E155" s="14">
        <f t="shared" si="86"/>
        <v>5</v>
      </c>
      <c r="F155" s="14">
        <v>1</v>
      </c>
      <c r="G155" s="14">
        <v>19</v>
      </c>
      <c r="H155" s="14">
        <v>2</v>
      </c>
      <c r="I155" s="14">
        <v>11</v>
      </c>
      <c r="J155" s="14"/>
      <c r="K155" s="14">
        <f t="shared" ref="K155:K161" si="92">C155*2200*12+D155*2200*0.7*12</f>
        <v>108240</v>
      </c>
      <c r="L155" s="14">
        <v>10000</v>
      </c>
      <c r="M155" s="14">
        <f t="shared" si="87"/>
        <v>19000</v>
      </c>
      <c r="N155" s="14">
        <f t="shared" si="88"/>
        <v>1000</v>
      </c>
      <c r="O155" s="14">
        <f t="shared" si="91"/>
        <v>3960</v>
      </c>
      <c r="P155" s="14">
        <f t="shared" si="89"/>
        <v>142200</v>
      </c>
      <c r="Q155" s="14">
        <v>20000</v>
      </c>
      <c r="R155" s="14">
        <v>8000</v>
      </c>
      <c r="S155" s="14"/>
      <c r="T155" s="14">
        <f t="shared" si="90"/>
        <v>162200</v>
      </c>
    </row>
    <row r="156" s="2" customFormat="1" ht="18" customHeight="1" spans="1:20">
      <c r="A156" s="11" t="s">
        <v>362</v>
      </c>
      <c r="B156" s="14">
        <v>1586</v>
      </c>
      <c r="C156" s="14">
        <v>2</v>
      </c>
      <c r="D156" s="14">
        <v>3</v>
      </c>
      <c r="E156" s="14">
        <f t="shared" si="86"/>
        <v>5</v>
      </c>
      <c r="F156" s="14">
        <v>1</v>
      </c>
      <c r="G156" s="14">
        <v>10</v>
      </c>
      <c r="H156" s="14">
        <v>2</v>
      </c>
      <c r="I156" s="14">
        <v>12</v>
      </c>
      <c r="J156" s="14"/>
      <c r="K156" s="14">
        <f t="shared" si="92"/>
        <v>108240</v>
      </c>
      <c r="L156" s="14">
        <v>10000</v>
      </c>
      <c r="M156" s="14">
        <f t="shared" si="87"/>
        <v>10000</v>
      </c>
      <c r="N156" s="14">
        <f t="shared" si="88"/>
        <v>1000</v>
      </c>
      <c r="O156" s="14">
        <f t="shared" si="91"/>
        <v>4320</v>
      </c>
      <c r="P156" s="14">
        <f t="shared" si="89"/>
        <v>133560</v>
      </c>
      <c r="Q156" s="14">
        <v>20000</v>
      </c>
      <c r="R156" s="14">
        <v>8000</v>
      </c>
      <c r="S156" s="14"/>
      <c r="T156" s="14">
        <f t="shared" si="90"/>
        <v>153560</v>
      </c>
    </row>
    <row r="157" s="2" customFormat="1" ht="18" customHeight="1" spans="1:20">
      <c r="A157" s="11" t="s">
        <v>363</v>
      </c>
      <c r="B157" s="14">
        <v>1441</v>
      </c>
      <c r="C157" s="14">
        <v>2</v>
      </c>
      <c r="D157" s="14">
        <v>3</v>
      </c>
      <c r="E157" s="14">
        <f t="shared" si="86"/>
        <v>5</v>
      </c>
      <c r="F157" s="14">
        <v>1</v>
      </c>
      <c r="G157" s="14">
        <v>10</v>
      </c>
      <c r="H157" s="14">
        <v>2</v>
      </c>
      <c r="I157" s="14">
        <v>12</v>
      </c>
      <c r="J157" s="14"/>
      <c r="K157" s="14">
        <f>C157*2000*12+D157*2000*0.7*12</f>
        <v>98400</v>
      </c>
      <c r="L157" s="14">
        <v>8000</v>
      </c>
      <c r="M157" s="14">
        <f t="shared" si="87"/>
        <v>10000</v>
      </c>
      <c r="N157" s="14">
        <f t="shared" si="88"/>
        <v>1000</v>
      </c>
      <c r="O157" s="14">
        <f t="shared" si="91"/>
        <v>4320</v>
      </c>
      <c r="P157" s="14">
        <f t="shared" si="89"/>
        <v>121720</v>
      </c>
      <c r="Q157" s="14">
        <v>20000</v>
      </c>
      <c r="R157" s="14">
        <v>5000</v>
      </c>
      <c r="S157" s="14"/>
      <c r="T157" s="14">
        <f t="shared" si="90"/>
        <v>141720</v>
      </c>
    </row>
    <row r="158" s="2" customFormat="1" ht="18" customHeight="1" spans="1:20">
      <c r="A158" s="11" t="s">
        <v>364</v>
      </c>
      <c r="B158" s="14">
        <v>1525</v>
      </c>
      <c r="C158" s="14">
        <v>2</v>
      </c>
      <c r="D158" s="14">
        <v>3</v>
      </c>
      <c r="E158" s="14">
        <f t="shared" si="86"/>
        <v>5</v>
      </c>
      <c r="F158" s="14">
        <v>1</v>
      </c>
      <c r="G158" s="14">
        <v>8</v>
      </c>
      <c r="H158" s="14">
        <v>2</v>
      </c>
      <c r="I158" s="14">
        <v>12</v>
      </c>
      <c r="J158" s="14"/>
      <c r="K158" s="14">
        <f t="shared" si="92"/>
        <v>108240</v>
      </c>
      <c r="L158" s="14">
        <v>10000</v>
      </c>
      <c r="M158" s="14">
        <f t="shared" si="87"/>
        <v>8000</v>
      </c>
      <c r="N158" s="14">
        <f t="shared" si="88"/>
        <v>1000</v>
      </c>
      <c r="O158" s="14">
        <f t="shared" si="91"/>
        <v>4320</v>
      </c>
      <c r="P158" s="14">
        <f t="shared" si="89"/>
        <v>131560</v>
      </c>
      <c r="Q158" s="14">
        <v>20000</v>
      </c>
      <c r="R158" s="14">
        <v>8000</v>
      </c>
      <c r="S158" s="14"/>
      <c r="T158" s="14">
        <f t="shared" si="90"/>
        <v>151560</v>
      </c>
    </row>
    <row r="159" s="2" customFormat="1" ht="18" customHeight="1" spans="1:20">
      <c r="A159" s="11" t="s">
        <v>365</v>
      </c>
      <c r="B159" s="14">
        <v>3112</v>
      </c>
      <c r="C159" s="14">
        <v>2</v>
      </c>
      <c r="D159" s="14">
        <v>4</v>
      </c>
      <c r="E159" s="14">
        <f t="shared" si="86"/>
        <v>6</v>
      </c>
      <c r="F159" s="14">
        <v>1</v>
      </c>
      <c r="G159" s="14">
        <v>19</v>
      </c>
      <c r="H159" s="14">
        <v>2</v>
      </c>
      <c r="I159" s="14">
        <v>24</v>
      </c>
      <c r="J159" s="14"/>
      <c r="K159" s="14">
        <f t="shared" si="92"/>
        <v>126720</v>
      </c>
      <c r="L159" s="14">
        <v>10000</v>
      </c>
      <c r="M159" s="14">
        <f t="shared" si="87"/>
        <v>19000</v>
      </c>
      <c r="N159" s="14">
        <f t="shared" si="88"/>
        <v>1000</v>
      </c>
      <c r="O159" s="14">
        <f t="shared" si="91"/>
        <v>8640</v>
      </c>
      <c r="P159" s="14">
        <f t="shared" si="89"/>
        <v>165360</v>
      </c>
      <c r="Q159" s="14">
        <v>20000</v>
      </c>
      <c r="R159" s="14">
        <v>8000</v>
      </c>
      <c r="S159" s="14"/>
      <c r="T159" s="14">
        <f t="shared" si="90"/>
        <v>185360</v>
      </c>
    </row>
    <row r="160" s="2" customFormat="1" ht="18" customHeight="1" spans="1:20">
      <c r="A160" s="11" t="s">
        <v>366</v>
      </c>
      <c r="B160" s="14">
        <v>2522</v>
      </c>
      <c r="C160" s="14">
        <v>2</v>
      </c>
      <c r="D160" s="14">
        <v>4</v>
      </c>
      <c r="E160" s="14">
        <f t="shared" si="86"/>
        <v>6</v>
      </c>
      <c r="F160" s="14">
        <v>1</v>
      </c>
      <c r="G160" s="14">
        <v>19</v>
      </c>
      <c r="H160" s="14">
        <v>2</v>
      </c>
      <c r="I160" s="14">
        <v>21</v>
      </c>
      <c r="J160" s="14"/>
      <c r="K160" s="14">
        <f t="shared" si="92"/>
        <v>126720</v>
      </c>
      <c r="L160" s="14">
        <v>10000</v>
      </c>
      <c r="M160" s="14">
        <f t="shared" si="87"/>
        <v>19000</v>
      </c>
      <c r="N160" s="14">
        <f t="shared" si="88"/>
        <v>1000</v>
      </c>
      <c r="O160" s="14">
        <f t="shared" si="91"/>
        <v>7560</v>
      </c>
      <c r="P160" s="14">
        <f t="shared" si="89"/>
        <v>164280</v>
      </c>
      <c r="Q160" s="14">
        <v>20000</v>
      </c>
      <c r="R160" s="14">
        <v>8000</v>
      </c>
      <c r="S160" s="14"/>
      <c r="T160" s="14">
        <f t="shared" si="90"/>
        <v>184280</v>
      </c>
    </row>
    <row r="161" s="2" customFormat="1" ht="18" customHeight="1" spans="1:20">
      <c r="A161" s="11" t="s">
        <v>367</v>
      </c>
      <c r="B161" s="14">
        <v>1773</v>
      </c>
      <c r="C161" s="14">
        <v>2</v>
      </c>
      <c r="D161" s="14">
        <v>4</v>
      </c>
      <c r="E161" s="14">
        <f t="shared" si="86"/>
        <v>6</v>
      </c>
      <c r="F161" s="14">
        <v>1</v>
      </c>
      <c r="G161" s="14">
        <v>10</v>
      </c>
      <c r="H161" s="14">
        <v>2</v>
      </c>
      <c r="I161" s="14">
        <v>12</v>
      </c>
      <c r="J161" s="14"/>
      <c r="K161" s="14">
        <f t="shared" si="92"/>
        <v>126720</v>
      </c>
      <c r="L161" s="14">
        <v>10000</v>
      </c>
      <c r="M161" s="14">
        <f t="shared" si="87"/>
        <v>10000</v>
      </c>
      <c r="N161" s="14">
        <f t="shared" si="88"/>
        <v>1000</v>
      </c>
      <c r="O161" s="14">
        <f t="shared" si="91"/>
        <v>4320</v>
      </c>
      <c r="P161" s="14">
        <f t="shared" si="89"/>
        <v>152040</v>
      </c>
      <c r="Q161" s="14">
        <v>20000</v>
      </c>
      <c r="R161" s="14">
        <v>8000</v>
      </c>
      <c r="S161" s="14"/>
      <c r="T161" s="14">
        <f t="shared" si="90"/>
        <v>172040</v>
      </c>
    </row>
    <row r="162" s="2" customFormat="1" ht="18" customHeight="1" spans="1:20">
      <c r="A162" s="11" t="s">
        <v>368</v>
      </c>
      <c r="B162" s="14">
        <v>1110</v>
      </c>
      <c r="C162" s="14">
        <v>2</v>
      </c>
      <c r="D162" s="14">
        <v>3</v>
      </c>
      <c r="E162" s="14">
        <f t="shared" si="86"/>
        <v>5</v>
      </c>
      <c r="F162" s="14">
        <v>1</v>
      </c>
      <c r="G162" s="14">
        <v>5</v>
      </c>
      <c r="H162" s="14">
        <v>2</v>
      </c>
      <c r="I162" s="14">
        <v>7</v>
      </c>
      <c r="J162" s="14"/>
      <c r="K162" s="14">
        <f>C162*2000*12+D162*2000*0.7*12</f>
        <v>98400</v>
      </c>
      <c r="L162" s="14">
        <v>8000</v>
      </c>
      <c r="M162" s="14">
        <f t="shared" si="87"/>
        <v>5000</v>
      </c>
      <c r="N162" s="14">
        <f t="shared" si="88"/>
        <v>1000</v>
      </c>
      <c r="O162" s="14">
        <f t="shared" si="91"/>
        <v>2520</v>
      </c>
      <c r="P162" s="14">
        <f t="shared" si="89"/>
        <v>114920</v>
      </c>
      <c r="Q162" s="14">
        <v>20000</v>
      </c>
      <c r="R162" s="14">
        <v>5000</v>
      </c>
      <c r="S162" s="14"/>
      <c r="T162" s="14">
        <f t="shared" si="90"/>
        <v>134920</v>
      </c>
    </row>
    <row r="163" s="2" customFormat="1" ht="18" customHeight="1" spans="1:20">
      <c r="A163" s="11" t="s">
        <v>369</v>
      </c>
      <c r="B163" s="14">
        <v>1511</v>
      </c>
      <c r="C163" s="14">
        <v>2</v>
      </c>
      <c r="D163" s="14">
        <v>3</v>
      </c>
      <c r="E163" s="14">
        <f t="shared" si="86"/>
        <v>5</v>
      </c>
      <c r="F163" s="14">
        <v>1</v>
      </c>
      <c r="G163" s="14">
        <v>9</v>
      </c>
      <c r="H163" s="14">
        <v>2</v>
      </c>
      <c r="I163" s="14">
        <v>10</v>
      </c>
      <c r="J163" s="14"/>
      <c r="K163" s="14">
        <f>C163*2200*12+D163*2200*0.7*12</f>
        <v>108240</v>
      </c>
      <c r="L163" s="14">
        <v>10000</v>
      </c>
      <c r="M163" s="14">
        <f t="shared" si="87"/>
        <v>9000</v>
      </c>
      <c r="N163" s="14">
        <f t="shared" si="88"/>
        <v>1000</v>
      </c>
      <c r="O163" s="14">
        <f t="shared" si="91"/>
        <v>3600</v>
      </c>
      <c r="P163" s="14">
        <f t="shared" si="89"/>
        <v>131840</v>
      </c>
      <c r="Q163" s="14">
        <v>20000</v>
      </c>
      <c r="R163" s="14">
        <v>8000</v>
      </c>
      <c r="S163" s="14"/>
      <c r="T163" s="14">
        <f t="shared" si="90"/>
        <v>151840</v>
      </c>
    </row>
    <row r="164" s="2" customFormat="1" ht="18" customHeight="1" spans="1:20">
      <c r="A164" s="11" t="s">
        <v>370</v>
      </c>
      <c r="B164" s="14">
        <v>1264</v>
      </c>
      <c r="C164" s="14">
        <v>2</v>
      </c>
      <c r="D164" s="14">
        <v>3</v>
      </c>
      <c r="E164" s="14">
        <f t="shared" si="86"/>
        <v>5</v>
      </c>
      <c r="F164" s="14">
        <v>1</v>
      </c>
      <c r="G164" s="14">
        <v>8</v>
      </c>
      <c r="H164" s="14">
        <v>2</v>
      </c>
      <c r="I164" s="14">
        <v>8</v>
      </c>
      <c r="J164" s="14"/>
      <c r="K164" s="14">
        <f>C164*2000*12+D164*2000*0.7*12</f>
        <v>98400</v>
      </c>
      <c r="L164" s="14">
        <v>8000</v>
      </c>
      <c r="M164" s="14">
        <f t="shared" si="87"/>
        <v>8000</v>
      </c>
      <c r="N164" s="14">
        <f t="shared" si="88"/>
        <v>1000</v>
      </c>
      <c r="O164" s="14">
        <f t="shared" si="91"/>
        <v>2880</v>
      </c>
      <c r="P164" s="14">
        <f t="shared" si="89"/>
        <v>118280</v>
      </c>
      <c r="Q164" s="14">
        <v>20000</v>
      </c>
      <c r="R164" s="14">
        <v>5000</v>
      </c>
      <c r="S164" s="14"/>
      <c r="T164" s="14">
        <f t="shared" si="90"/>
        <v>138280</v>
      </c>
    </row>
    <row r="165" s="2" customFormat="1" ht="18" customHeight="1" spans="1:20">
      <c r="A165" s="11" t="s">
        <v>262</v>
      </c>
      <c r="B165" s="14">
        <v>1090</v>
      </c>
      <c r="C165" s="14">
        <v>2</v>
      </c>
      <c r="D165" s="14">
        <v>3</v>
      </c>
      <c r="E165" s="14">
        <f t="shared" si="86"/>
        <v>5</v>
      </c>
      <c r="F165" s="14">
        <v>1</v>
      </c>
      <c r="G165" s="14"/>
      <c r="H165" s="14">
        <v>1</v>
      </c>
      <c r="I165" s="14">
        <v>6</v>
      </c>
      <c r="J165" s="14"/>
      <c r="K165" s="14">
        <f>C165*2500*12+2*2000*12+1500*12</f>
        <v>126000</v>
      </c>
      <c r="L165" s="14">
        <v>10000</v>
      </c>
      <c r="M165" s="14">
        <f t="shared" si="87"/>
        <v>0</v>
      </c>
      <c r="N165" s="14">
        <f t="shared" si="88"/>
        <v>500</v>
      </c>
      <c r="O165" s="14">
        <f t="shared" si="91"/>
        <v>2160</v>
      </c>
      <c r="P165" s="14">
        <f t="shared" si="89"/>
        <v>138660</v>
      </c>
      <c r="Q165" s="14">
        <v>30000</v>
      </c>
      <c r="R165" s="14">
        <v>10000</v>
      </c>
      <c r="S165" s="14">
        <v>50000</v>
      </c>
      <c r="T165" s="14">
        <f t="shared" si="90"/>
        <v>218660</v>
      </c>
    </row>
    <row r="166" s="4" customFormat="1" ht="24" customHeight="1" spans="1:20">
      <c r="A166" s="19" t="s">
        <v>371</v>
      </c>
      <c r="B166" s="14"/>
      <c r="C166" s="14"/>
      <c r="D166" s="14"/>
      <c r="E166" s="14"/>
      <c r="F166" s="14"/>
      <c r="G166" s="14"/>
      <c r="H166" s="14"/>
      <c r="I166" s="14"/>
      <c r="J166" s="14"/>
      <c r="K166" s="14">
        <v>100000</v>
      </c>
      <c r="L166" s="14"/>
      <c r="M166" s="14"/>
      <c r="N166" s="14"/>
      <c r="O166" s="14"/>
      <c r="P166" s="14">
        <v>100000</v>
      </c>
      <c r="Q166" s="14"/>
      <c r="R166" s="14"/>
      <c r="S166" s="14"/>
      <c r="T166" s="14">
        <v>100000</v>
      </c>
    </row>
    <row r="167" s="4" customFormat="1" ht="24" customHeight="1" spans="1:20">
      <c r="A167" s="19" t="s">
        <v>372</v>
      </c>
      <c r="B167" s="14"/>
      <c r="C167" s="14"/>
      <c r="D167" s="14"/>
      <c r="E167" s="14"/>
      <c r="F167" s="14"/>
      <c r="G167" s="14"/>
      <c r="H167" s="14"/>
      <c r="I167" s="14"/>
      <c r="J167" s="14"/>
      <c r="K167" s="14">
        <v>1000000</v>
      </c>
      <c r="L167" s="14"/>
      <c r="M167" s="14"/>
      <c r="N167" s="14"/>
      <c r="O167" s="14"/>
      <c r="P167" s="14">
        <f>SUM(K167:O167)</f>
        <v>1000000</v>
      </c>
      <c r="Q167" s="14"/>
      <c r="R167" s="14"/>
      <c r="S167" s="14"/>
      <c r="T167" s="14">
        <f>P167+Q167+S167</f>
        <v>1000000</v>
      </c>
    </row>
  </sheetData>
  <mergeCells count="12">
    <mergeCell ref="A1:T1"/>
    <mergeCell ref="R2:S2"/>
    <mergeCell ref="B3:J3"/>
    <mergeCell ref="K3:T3"/>
    <mergeCell ref="C4:E4"/>
    <mergeCell ref="F4:J4"/>
    <mergeCell ref="K4:P4"/>
    <mergeCell ref="Q4:R4"/>
    <mergeCell ref="A3:A5"/>
    <mergeCell ref="B4:B5"/>
    <mergeCell ref="S4:S5"/>
    <mergeCell ref="T4:T5"/>
  </mergeCells>
  <printOptions horizontalCentered="1"/>
  <pageMargins left="0.590277777777778" right="0.590277777777778" top="0.865972222222222" bottom="0.393055555555556" header="0.511805555555556" footer="0.118055555555556"/>
  <pageSetup paperSize="9" scale="92" firstPageNumber="150" orientation="landscape" useFirstPageNumber="1"/>
  <header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汇总表</vt:lpstr>
      <vt:lpstr>收入测算表</vt:lpstr>
      <vt:lpstr>人员经费表</vt:lpstr>
      <vt:lpstr>镇级公用运转经费</vt:lpstr>
      <vt:lpstr>专项事业费</vt:lpstr>
      <vt:lpstr>城镇社区（村级）定员定额标准</vt:lpstr>
      <vt:lpstr>镇村级专项资金预算汇总</vt:lpstr>
      <vt:lpstr>镇村专项补助资金预算明细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雪</cp:lastModifiedBy>
  <dcterms:created xsi:type="dcterms:W3CDTF">2017-10-31T01:39:00Z</dcterms:created>
  <cp:lastPrinted>2018-01-08T07:22:00Z</cp:lastPrinted>
  <dcterms:modified xsi:type="dcterms:W3CDTF">2018-11-05T02:35:05Z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2052-11.1.0.7881</vt:lpwstr>
  </property>
  <property fmtid="{D5CDD505-2E9C-101B-9397-08002B2CF9AE}" pid="3" name="KSOReadingLayout">
    <vt:bool>true</vt:bool>
  </property>
</Properties>
</file>