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240" tabRatio="685" activeTab="10"/>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 name="表十二" sheetId="12" r:id="rId12"/>
    <sheet name="表十三" sheetId="13" r:id="rId13"/>
    <sheet name="表十四" sheetId="14" r:id="rId14"/>
    <sheet name="表十六" sheetId="15" r:id="rId15"/>
    <sheet name="表十七" sheetId="16" r:id="rId16"/>
    <sheet name="表十八" sheetId="17" r:id="rId17"/>
    <sheet name="表十九" sheetId="18" r:id="rId18"/>
    <sheet name="表二十" sheetId="19" r:id="rId19"/>
    <sheet name="表二十一" sheetId="20" r:id="rId20"/>
  </sheets>
  <externalReferences>
    <externalReference r:id="rId23"/>
    <externalReference r:id="rId24"/>
    <externalReference r:id="rId25"/>
  </externalReferences>
  <definedNames>
    <definedName name="_xlnm.Print_Area" localSheetId="7">'表八'!$A$1:$E$18</definedName>
    <definedName name="_xlnm.Print_Area" localSheetId="19">'表二十一'!$A$1:$F$19</definedName>
    <definedName name="_xlnm.Print_Area" localSheetId="5">'表六'!$A$1:$J$6</definedName>
    <definedName name="_xlnm.Print_Area" localSheetId="6">'表七'!$A$1:$J$9</definedName>
    <definedName name="_xlnm.Print_Area" localSheetId="2">'表三'!$A$1:$I$23</definedName>
    <definedName name="_xlnm.Print_Area" localSheetId="9">'表十'!$A$1:$E$22</definedName>
    <definedName name="_xlnm.Print_Area" localSheetId="16">'表十八'!$A$1:$J$9</definedName>
    <definedName name="_xlnm.Print_Area" localSheetId="11">'表十二'!$A$1:$J$28</definedName>
    <definedName name="_xlnm.Print_Area" localSheetId="17">'表十九'!$A$1:$F$15</definedName>
    <definedName name="_xlnm.Print_Area" localSheetId="15">'表十七'!$A$1:$J$6</definedName>
    <definedName name="_xlnm.Print_Area" localSheetId="12">'表十三'!$A$1:$E$14</definedName>
    <definedName name="_xlnm.Print_Area" localSheetId="13">'表十四'!$A$1:$O$78</definedName>
    <definedName name="_xlnm.Print_Area" localSheetId="10">'表十一'!$A$1:$K$27</definedName>
    <definedName name="_xlnm.Print_Area" localSheetId="3">'表四'!$A$1:$J$26</definedName>
    <definedName name="_xlnm.Print_Area" localSheetId="4">'表五'!$A$1:$N$23</definedName>
    <definedName name="_xlnm.Print_Area" localSheetId="0">'表一'!$A$1:$I$23</definedName>
    <definedName name="_xlnm.Print_Titles" localSheetId="19">'表二十一'!$1:$3</definedName>
    <definedName name="_xlnm.Print_Titles" localSheetId="9">'表十'!$1:$3</definedName>
    <definedName name="_xlnm.Print_Titles" localSheetId="13">'表十四'!$1:$7</definedName>
  </definedNames>
  <calcPr fullCalcOnLoad="1" iterate="1" iterateCount="100" iterateDelta="0.001"/>
</workbook>
</file>

<file path=xl/sharedStrings.xml><?xml version="1.0" encoding="utf-8"?>
<sst xmlns="http://schemas.openxmlformats.org/spreadsheetml/2006/main" count="764" uniqueCount="431">
  <si>
    <t>汉阴县2019年全县财政一般公共预算收入执行情况比较表</t>
  </si>
  <si>
    <t>（表一）</t>
  </si>
  <si>
    <t>单位：万元</t>
  </si>
  <si>
    <t>预算科目</t>
  </si>
  <si>
    <t>2018年决算数</t>
  </si>
  <si>
    <t>2019年   年初预算数</t>
  </si>
  <si>
    <t>2019年预算调整数</t>
  </si>
  <si>
    <t>2019年决算数</t>
  </si>
  <si>
    <t>2019年决算数     占预算调整数</t>
  </si>
  <si>
    <t>2019年决算数比2018年决算数</t>
  </si>
  <si>
    <t>%</t>
  </si>
  <si>
    <t>±额</t>
  </si>
  <si>
    <t>一、全县地方财政一般公共预算收入</t>
  </si>
  <si>
    <t>（一）、税收收入</t>
  </si>
  <si>
    <t>1、国税</t>
  </si>
  <si>
    <r>
      <t>2、地税（含耕地占用税</t>
    </r>
    <r>
      <rPr>
        <sz val="12"/>
        <rFont val="宋体"/>
        <family val="0"/>
      </rPr>
      <t>、契税）</t>
    </r>
  </si>
  <si>
    <t>（二）、非税收入</t>
  </si>
  <si>
    <t>1、专项收入</t>
  </si>
  <si>
    <t>2、行政事业性收费收入</t>
  </si>
  <si>
    <t>3、罚没收入</t>
  </si>
  <si>
    <t>4、国有资产出让及经营收益</t>
  </si>
  <si>
    <t>5、其他收入</t>
  </si>
  <si>
    <t>二、上级一般性转移支付补助收入</t>
  </si>
  <si>
    <t>三、上级预算内下达专项资金（专项转移支付）</t>
  </si>
  <si>
    <t>四、调入资金</t>
  </si>
  <si>
    <t>五、上解支出</t>
  </si>
  <si>
    <t>六、新增一般债券收入</t>
  </si>
  <si>
    <t>七、债务转贷收入</t>
  </si>
  <si>
    <t>八、置换一般债券收入</t>
  </si>
  <si>
    <t>九、上年结余</t>
  </si>
  <si>
    <t>合      计</t>
  </si>
  <si>
    <t>汉阴县2019年全县财政一般公共预算支出执行情况比较表</t>
  </si>
  <si>
    <t>（表二）</t>
  </si>
  <si>
    <t>2019年年初预算数</t>
  </si>
  <si>
    <t>2019年决算数占预算调整数</t>
  </si>
  <si>
    <t>备注</t>
  </si>
  <si>
    <t>一、一般公共服务支出</t>
  </si>
  <si>
    <t>二、国防与公共安全支出</t>
  </si>
  <si>
    <t>三、教育支出</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</si>
  <si>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</si>
  <si>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</si>
  <si>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</si>
  <si>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</si>
  <si>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</si>
  <si>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</si>
  <si>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</si>
  <si>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</si>
  <si>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</si>
  <si>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</si>
  <si>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</si>
  <si>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</si>
  <si>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</si>
  <si>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</si>
  <si>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</si>
  <si>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</si>
  <si>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二十、债务付息及发行费支出</t>
  </si>
  <si>
    <t>二十一、其他支出</t>
  </si>
  <si>
    <t>汉阴县2019年县本级财政一般公共预算收入执行情况比较表</t>
  </si>
  <si>
    <t>（表三）</t>
  </si>
  <si>
    <t>2018年全县</t>
  </si>
  <si>
    <t>2018年镇级</t>
  </si>
  <si>
    <t>一、县本级地方财政一般公共预算收入</t>
  </si>
  <si>
    <t>（一）税收收入</t>
  </si>
  <si>
    <t>2、地税（含耕地占用税、契税）</t>
  </si>
  <si>
    <t>2018年11月镇级收入2055万，11月烟叶税未入库</t>
  </si>
  <si>
    <t>（二）非税收入</t>
  </si>
  <si>
    <t>12月预计烟叶税160万</t>
  </si>
  <si>
    <t>五、补助镇级支出</t>
  </si>
  <si>
    <t>六、上解支出</t>
  </si>
  <si>
    <t>七、新增一般债券收入</t>
  </si>
  <si>
    <r>
      <t xml:space="preserve"> </t>
    </r>
    <r>
      <rPr>
        <sz val="12"/>
        <rFont val="宋体"/>
        <family val="0"/>
      </rPr>
      <t xml:space="preserve">   </t>
    </r>
  </si>
  <si>
    <t>汉阴县2019年县本级财政一般公共预算支出执行情况比较表</t>
  </si>
  <si>
    <t>（表四）</t>
  </si>
  <si>
    <t>全县</t>
  </si>
  <si>
    <t>镇级</t>
  </si>
  <si>
    <t>汉阴县2019年政府性基金预算收支执行情况表</t>
  </si>
  <si>
    <t>(表五）</t>
  </si>
  <si>
    <t>收   入</t>
  </si>
  <si>
    <t>支   出</t>
  </si>
  <si>
    <t>项目</t>
  </si>
  <si>
    <t>年初       预算数</t>
  </si>
  <si>
    <t>17年1-11月实际收入</t>
  </si>
  <si>
    <t>预算     调整数</t>
  </si>
  <si>
    <t>1-10月份收入</t>
  </si>
  <si>
    <t>决算数</t>
  </si>
  <si>
    <t>说明</t>
  </si>
  <si>
    <t>年初     预算数</t>
  </si>
  <si>
    <t>17年1-11月实际支出</t>
  </si>
  <si>
    <t>1-10月份支出</t>
  </si>
  <si>
    <t>一、上级政府性基金收入</t>
  </si>
  <si>
    <t>一、上级政府性基金支出（相关部门、镇）</t>
  </si>
  <si>
    <t>按上级下达数专款专用、据实列报</t>
  </si>
  <si>
    <t>移民局移民补助572万、基础设施建设和基金发展480万元</t>
  </si>
  <si>
    <t>大中型谁移民后期扶持基金及彩票支出</t>
  </si>
  <si>
    <t>二、本级政府性基金收入</t>
  </si>
  <si>
    <t>二、本级政府性基金支出</t>
  </si>
  <si>
    <t>按以收定支管理</t>
  </si>
  <si>
    <t>1、国有土地使用权出让收入</t>
  </si>
  <si>
    <t>（一）国有土地使用权出让收入安排的支出</t>
  </si>
  <si>
    <t>其中含市垫付的专项债券利息283万元</t>
  </si>
  <si>
    <t>2、城市公用事业附加收入</t>
  </si>
  <si>
    <t xml:space="preserve">  1、征地拆迁补偿支出（国土局）</t>
  </si>
  <si>
    <t>3、城市基础设施配套费收入</t>
  </si>
  <si>
    <t xml:space="preserve">  2、土地开发支出（国土局）</t>
  </si>
  <si>
    <t>4、新型墙体材料专项基金收入</t>
  </si>
  <si>
    <t xml:space="preserve">  3、第三次全国土地调查</t>
  </si>
  <si>
    <t>5、水土保持补偿费收入</t>
  </si>
  <si>
    <t xml:space="preserve">  4、农村宅基地权籍调查测绘支出</t>
  </si>
  <si>
    <t>6、其他政府性基金收入</t>
  </si>
  <si>
    <t xml:space="preserve">  5、城市照明规划费（住建局）</t>
  </si>
  <si>
    <t>7、国有土地收益基金收入</t>
  </si>
  <si>
    <t xml:space="preserve">  6、城市建设支出（住建局）</t>
  </si>
  <si>
    <t>8、农业土地开发资金收入</t>
  </si>
  <si>
    <t xml:space="preserve">  7、城市照明电费（住建局）</t>
  </si>
  <si>
    <t>9、污水处理费收入</t>
  </si>
  <si>
    <t xml:space="preserve">  8、世行项目县级配套资金（世行办）</t>
  </si>
  <si>
    <t xml:space="preserve">  9、重点镇建设基金（涧池镇）</t>
  </si>
  <si>
    <t>（二）专项债券还本付息支出</t>
  </si>
  <si>
    <t>（三）调入一般公共预算收入统筹安排支出</t>
  </si>
  <si>
    <t>本年收入合计</t>
  </si>
  <si>
    <t>本年支出合计</t>
  </si>
  <si>
    <t>新增专项地方政府债券收入</t>
  </si>
  <si>
    <t>新增专项地方政府债券支出</t>
  </si>
  <si>
    <t>上解支出</t>
  </si>
  <si>
    <t>上年结余</t>
  </si>
  <si>
    <t>累计结余</t>
  </si>
  <si>
    <t>收入总计</t>
  </si>
  <si>
    <t>支出总计</t>
  </si>
  <si>
    <t>汉阴县2019年国有资本经营预算收支计划表</t>
  </si>
  <si>
    <t>（表六）</t>
  </si>
  <si>
    <t>支    出</t>
  </si>
  <si>
    <t>年初   预算数</t>
  </si>
  <si>
    <t>预算   调整数</t>
  </si>
  <si>
    <t>收入合计</t>
  </si>
  <si>
    <t>支出合计</t>
  </si>
  <si>
    <t>一、股利股息收入</t>
  </si>
  <si>
    <t>一、其他国有资本经营预算支出</t>
  </si>
  <si>
    <t xml:space="preserve">            </t>
  </si>
  <si>
    <t xml:space="preserve">    </t>
  </si>
  <si>
    <t>汉阴县2019年社会保险基金预算收支执行情况汇总表</t>
  </si>
  <si>
    <t>（表七）</t>
  </si>
  <si>
    <t>年初预算数</t>
  </si>
  <si>
    <t>预算调整数</t>
  </si>
  <si>
    <t>预计    决算数</t>
  </si>
  <si>
    <t xml:space="preserve">说明 </t>
  </si>
  <si>
    <t>预计   决算数</t>
  </si>
  <si>
    <t>一、新型农村合作医疗基金收入</t>
  </si>
  <si>
    <t>一、新型农村合作医疗基金支出</t>
  </si>
  <si>
    <t xml:space="preserve">  </t>
  </si>
  <si>
    <t>二、城镇居民基本医疗保险基金收入</t>
  </si>
  <si>
    <t>二、城镇居民基本医疗保险基金支出</t>
  </si>
  <si>
    <t>三、城乡居民社会养老保险基金收入</t>
  </si>
  <si>
    <t>三、城乡居民社会养老保险基金支出</t>
  </si>
  <si>
    <r>
      <t xml:space="preserve"> </t>
    </r>
    <r>
      <rPr>
        <sz val="12"/>
        <rFont val="宋体"/>
        <family val="0"/>
      </rPr>
      <t xml:space="preserve">  </t>
    </r>
  </si>
  <si>
    <r>
      <t xml:space="preserve"> </t>
    </r>
    <r>
      <rPr>
        <sz val="12"/>
        <rFont val="宋体"/>
        <family val="0"/>
      </rPr>
      <t xml:space="preserve">              </t>
    </r>
  </si>
  <si>
    <r>
      <t xml:space="preserve"> </t>
    </r>
    <r>
      <rPr>
        <sz val="12"/>
        <rFont val="宋体"/>
        <family val="0"/>
      </rPr>
      <t xml:space="preserve">                              </t>
    </r>
  </si>
  <si>
    <t>汉阴县2019年新型农村合作医疗基金预算收支执行情况表</t>
  </si>
  <si>
    <t>（表八）</t>
  </si>
  <si>
    <t>预算    调整数</t>
  </si>
  <si>
    <t>预计
决算数</t>
  </si>
  <si>
    <t>备    注</t>
  </si>
  <si>
    <t>1、中央财政补助收入</t>
  </si>
  <si>
    <t>416×262391=10915.46万元</t>
  </si>
  <si>
    <t>2、省级财政补助收入</t>
  </si>
  <si>
    <t>101×262391=2650.14万元</t>
  </si>
  <si>
    <t>3、市级财政补助收入</t>
  </si>
  <si>
    <t>0.3×262391=7.87</t>
  </si>
  <si>
    <t>4、县财政一般公共预算配套补助收入</t>
  </si>
  <si>
    <t>2.7×262391=70.84</t>
  </si>
  <si>
    <t>5、个人缴费</t>
  </si>
  <si>
    <t>220×262391=5772.6</t>
  </si>
  <si>
    <t>6、其他收入</t>
  </si>
  <si>
    <t>利息收入预计68.83万元</t>
  </si>
  <si>
    <t>二、 新型农村合作医疗基金支出</t>
  </si>
  <si>
    <t>1、普通住院补助支出</t>
  </si>
  <si>
    <r>
      <t>每月住院预计报销（1461.6万元</t>
    </r>
    <r>
      <rPr>
        <sz val="10"/>
        <rFont val="Arial"/>
        <family val="2"/>
      </rPr>
      <t>×</t>
    </r>
    <r>
      <rPr>
        <sz val="10"/>
        <rFont val="宋体"/>
        <family val="0"/>
      </rPr>
      <t>12个月），按参合人员实际住院报销比例据实审核报销。</t>
    </r>
  </si>
  <si>
    <t>2、门诊慢性病补助支出</t>
  </si>
  <si>
    <t>预计全县门诊慢病预计报销6880余人次，人均904.8元</t>
  </si>
  <si>
    <t>3、普通门诊补助支出</t>
  </si>
  <si>
    <r>
      <t>每月普通门诊预计报销（135.93万元</t>
    </r>
    <r>
      <rPr>
        <sz val="10"/>
        <rFont val="Arial"/>
        <family val="2"/>
      </rPr>
      <t>×</t>
    </r>
    <r>
      <rPr>
        <sz val="10"/>
        <rFont val="宋体"/>
        <family val="0"/>
      </rPr>
      <t>12个月）</t>
    </r>
  </si>
  <si>
    <t>4、全口义齿补助支出</t>
  </si>
  <si>
    <r>
      <rPr>
        <sz val="10"/>
        <rFont val="宋体"/>
        <family val="0"/>
      </rPr>
      <t>为65岁老人补牙全年预计900余人次</t>
    </r>
    <r>
      <rPr>
        <sz val="10"/>
        <rFont val="Arial"/>
        <family val="2"/>
      </rPr>
      <t>×</t>
    </r>
    <r>
      <rPr>
        <sz val="10"/>
        <rFont val="宋体"/>
        <family val="0"/>
      </rPr>
      <t>600元</t>
    </r>
  </si>
  <si>
    <t>5、其他支出</t>
  </si>
  <si>
    <t xml:space="preserve">大病保险支出1574.35万元，上解上级支出1440万元 </t>
  </si>
  <si>
    <t>三、当年收支结余</t>
  </si>
  <si>
    <t>四、上年结余</t>
  </si>
  <si>
    <t>五、累计结余</t>
  </si>
  <si>
    <t>汉阴县2019年城镇居民基本医疗保险基金预算收支执行情况表</t>
  </si>
  <si>
    <t>（表九）</t>
  </si>
  <si>
    <r>
      <t>预算调</t>
    </r>
    <r>
      <rPr>
        <sz val="12"/>
        <rFont val="宋体"/>
        <family val="0"/>
      </rPr>
      <t>整数</t>
    </r>
  </si>
  <si>
    <t>一、城镇居民基本医疗保险基金收入</t>
  </si>
  <si>
    <t>年初预算参照2018年参保缴费人数和收费标准预计，实际征收是16110人，补助标准是416元/人。（782.54万元含77万元是补拨以往年度）</t>
  </si>
  <si>
    <t>300元|人</t>
  </si>
  <si>
    <t>年初预算参照2018年参保缴费人数和收费标准预计，实际征收是16110人，补助标准是71.6元/人。</t>
  </si>
  <si>
    <t>98元|人</t>
  </si>
  <si>
    <t>年初预算参照2018年参保缴费人数和收费标准预计，实际征收是16110人，补助标准是3.24元/人。</t>
  </si>
  <si>
    <t>4.2元|人</t>
  </si>
  <si>
    <t>年初预算参照2018年参保缴费人数和收费标准预计，实际征收是16110人，补助标准是29.16元/人。</t>
  </si>
  <si>
    <t>37.8元|人</t>
  </si>
  <si>
    <t>年初预算参照2018年参保缴费人数和收费标准预计，实际征收是16110人，缴费标准是220元/人/年。</t>
  </si>
  <si>
    <t>6、民政医疗救助</t>
  </si>
  <si>
    <t>年初预算参照2018年收缴标准：低保成人补助60元|人、低保儿童补助10元|人、三无和完残人员全额补助，最后实际征收按照上级文件全省统一缴费标准，决算数的3.41万元只是三无和完残人员的全额资助（155人×220元）。</t>
  </si>
  <si>
    <t>1、基本医疗</t>
  </si>
  <si>
    <t>2、大病救助</t>
  </si>
  <si>
    <t>上年度已预拨100万元。</t>
  </si>
  <si>
    <t>3、门诊大病</t>
  </si>
  <si>
    <t>4、上解上级支出</t>
  </si>
  <si>
    <t>汉阴县2019年城镇居民养老保险基金预算收支执行情况表</t>
  </si>
  <si>
    <t>（表十）</t>
  </si>
  <si>
    <t>预计决算数</t>
  </si>
  <si>
    <t>一、 城乡居民社会养老保险基金收入</t>
  </si>
  <si>
    <t>截止11月14日已到位中央补贴（基础养老金补贴）</t>
  </si>
  <si>
    <t>截止11月14日已到位省级补贴（其中：基础养老金补贴402.2万元，个人缴费补贴201.24万元，贫困人口代缴30.37万元，重残代缴17.62万元）</t>
  </si>
  <si>
    <t>截止11月14日已到位市级补贴6.66万元，另41.56万元已按文件申请待拨（其中：基础养老金补贴39.87万元，丧葬费补贴5.93万元，个人缴费补贴 0.55万元，部分退役军人补贴1.76万元，贫困人口代缴费0.11万元。）</t>
  </si>
  <si>
    <t>截止11月14日已到位县级补贴1337.07万元（其中：基础养老金补贴660.32万元，丧葬费补贴   56.38万元，个人缴费补贴178.78万元，部分退役军人补贴26.02万元，中轻度代缴费15.28万元，贫困人口代缴&lt;含五保户&gt;30.67万元，特殊人群工龄补贴369.62万元）。</t>
  </si>
  <si>
    <t>6、利息收入</t>
  </si>
  <si>
    <t>7、其他收入</t>
  </si>
  <si>
    <t>追回的跨年度多领取待遇</t>
  </si>
  <si>
    <t>8、转移收入</t>
  </si>
  <si>
    <t>因户籍转移而转入的个人账户</t>
  </si>
  <si>
    <t>二、城乡居民社会养老保险基金支出</t>
  </si>
  <si>
    <t>1、基础养老金支出</t>
  </si>
  <si>
    <t>2、个人账户养老金支出</t>
  </si>
  <si>
    <t>3、丧葬费支出</t>
  </si>
  <si>
    <t>4、八类及178人员工龄补贴支出</t>
  </si>
  <si>
    <t>5、转移支出</t>
  </si>
  <si>
    <t>因户籍转移而转出的个人账户</t>
  </si>
  <si>
    <t xml:space="preserve">6、其他支出 </t>
  </si>
  <si>
    <t>汉阴县2020年全县财政一般公共预算收支计划草案总表</t>
  </si>
  <si>
    <t>（表十一）</t>
  </si>
  <si>
    <t>收      入</t>
  </si>
  <si>
    <t>支 出（功能分类）</t>
  </si>
  <si>
    <t>项     目</t>
  </si>
  <si>
    <t>2019年预算数</t>
  </si>
  <si>
    <t>2020年预算数</t>
  </si>
  <si>
    <t>2012年预算数比2011年预算数</t>
  </si>
  <si>
    <t>2019年预算数比2018年预算数</t>
  </si>
  <si>
    <t>2019年预算数比        2018年预算数</t>
  </si>
  <si>
    <t>±%</t>
  </si>
  <si>
    <t>二、公共安全支出</t>
  </si>
  <si>
    <t xml:space="preserve">   1、专项收入（地税部门征收的教育费附加等）</t>
  </si>
  <si>
    <t xml:space="preserve">   2、行政事业性收费收入</t>
  </si>
  <si>
    <t xml:space="preserve">   3、罚没收入</t>
  </si>
  <si>
    <t xml:space="preserve">   4、国有资源（资产）有偿使用收入</t>
  </si>
  <si>
    <t xml:space="preserve">   5、其他收入</t>
  </si>
  <si>
    <t>四、暂列调入资金</t>
  </si>
  <si>
    <t>五、新增一般债券收入</t>
  </si>
  <si>
    <t>十二、资源勘探工业信息等支出</t>
  </si>
  <si>
    <t>十五、自然资源海洋气象等支出</t>
  </si>
  <si>
    <t>十六、住房保障支出</t>
  </si>
  <si>
    <t>十七、粮油物资储备支出</t>
  </si>
  <si>
    <t>十八、灾害防治及应急管理支出</t>
  </si>
  <si>
    <t>十九、债务还本付息支出</t>
  </si>
  <si>
    <t>二十、其他支出</t>
  </si>
  <si>
    <t>合             计</t>
  </si>
  <si>
    <t>合     计</t>
  </si>
  <si>
    <t>说明：2020年全县财政总收入计划为6.45亿元（含政府性基金收入）,其中：税务部门为3.262亿元；财政部门为1300万元；自然资源局土地出让收入为2.95亿元；住建局基础设施配套费、绿化补偿费、人防异地建设费、城市占道维护费、两租房租金、生活垃圾和建筑垃圾处理费等收入1000万元；水利局水土保持补偿费、污水处理费等收入20万元；林业部门植被恢复费等收入各60万元。</t>
  </si>
  <si>
    <t>汉阴县2020年县本级财政一般公共预算收支计划草案总表</t>
  </si>
  <si>
    <t>（表十二）</t>
  </si>
  <si>
    <t>2020年预算数比2019年预算数</t>
  </si>
  <si>
    <t>2020年预算数比        2019年预算数</t>
  </si>
  <si>
    <t xml:space="preserve">   1、专项收入（地税部门征收的教育费附加）</t>
  </si>
  <si>
    <t>五、文化体育与传媒支出</t>
  </si>
  <si>
    <t>十二、资源勘探电力信息等支出</t>
  </si>
  <si>
    <t>七、上解支出</t>
  </si>
  <si>
    <t>十九、还本付息支出</t>
  </si>
  <si>
    <t>说明：2020镇级财政一般公共预算收入计划安排1.91亿元。</t>
  </si>
  <si>
    <t>汉阴县2020年全县财政一般公共预算支出计划表（经济分类）</t>
  </si>
  <si>
    <t>（表十三）</t>
  </si>
  <si>
    <t xml:space="preserve">          经济分类                  </t>
  </si>
  <si>
    <t>2020年年初预算数</t>
  </si>
  <si>
    <t>说   明</t>
  </si>
  <si>
    <t>合计</t>
  </si>
  <si>
    <t>其中</t>
  </si>
  <si>
    <t xml:space="preserve"> 预计支出金额</t>
  </si>
  <si>
    <t>县本级</t>
  </si>
  <si>
    <t>合    计</t>
  </si>
  <si>
    <t>一、人员经费</t>
  </si>
  <si>
    <t>按照“人员经费按实际”的原则，县本级部门人员经费预计56492万元，其中直接到单位人员经费34170万元，预留划转人员经费2.2322亿元（其中划转特殊人员医疗费补助60万元，在职人员医疗保险缴费财政补助划转医疗专户3500万元，在职人员住房公积金财政补助划转住房公积金专户3500万元,行政事业单位养老保险和职业年金财政补助1亿元，生态护林员工资226万，预留人员经费5036万元)；镇级人员经费预计9469万元（预留人员经费900万元）；</t>
  </si>
  <si>
    <t>二、公用运转经费</t>
  </si>
  <si>
    <t>按照“公用经费按定额、重点工作经费从紧必须”的原则预算安排。</t>
  </si>
  <si>
    <t>1、分档定额公用运转经费</t>
  </si>
  <si>
    <t>县本级部门按分档定额标准及单位编制数预算；镇级分档定额公用经费按编制数基本定额加补差方式预算，包括基本运转经费、会议费、培训费等。</t>
  </si>
  <si>
    <t>2、公务交通补贴</t>
  </si>
  <si>
    <t>按照我县公务交通补贴发放办法相关政策，专项用于发放干部职工公务交通补贴相关支出。</t>
  </si>
  <si>
    <t>3、重点工作经费</t>
  </si>
  <si>
    <t>县本级部门重点工作经费详见单位预算明细；镇级重点工作经费包括计划生育、食品药品、信访维稳、招商引资、普法、社会治安综合治理、镇级党建、武装（含征兵）、纪检、人大代表活动、工青妇等重点工作专项事业费。</t>
  </si>
  <si>
    <t>三、县本级财政专项资金</t>
  </si>
  <si>
    <t>其中：县本级其他专项资金预留18030万元（财政收入征管经费1300万元，美丽乡村及村级公益事业一事一议项目县级配套100万元，国有资产建设维护管理支出300万元，政府性债务还本付息支出10000万元；文化旅游产业发展基金1500万元，金融机构支持县域经济发展奖励基金60万元，干部党性教育培训专项经费100万元，人才发展专项基金100万元，中小企业发展基金1500万元，政府购买文化服务专项经费100万元，美食产业发展基金100万元，科技研发经费90万元，招商引资备用金70万元，涉法涉诉救助基金10万，总预备费2700万元）；补助镇级财政专项资金包括镇级基础设施建设维护费用、革命老区扶贫、应急预备费、龙岗生态环保、农村环卫保洁、村级（城镇社区）、镇级超收返还等专项补助。</t>
  </si>
  <si>
    <t>四、新增一般定向债券支出</t>
  </si>
  <si>
    <t>由县本级各部门争取的具有专项用途的债券资金（不含可统筹整合的专项债券资金），按上级规定用途安排，专款专用。</t>
  </si>
  <si>
    <t>五、上级财政专项资金</t>
  </si>
  <si>
    <t>由县本级各部门负责对口争取上级财政预算内下达的项目类专项资金（不含从上级财政专户、基金收入中下达的专项资金），按上级规定用途安排，专款专用。预算执行中交由镇级实施的相关项目类专项资金，年终决算时由县级调整到镇级财政列报支出。</t>
  </si>
  <si>
    <t>汉阴县2020年县本级部门预算汇总表</t>
  </si>
  <si>
    <t>（表十四）</t>
  </si>
  <si>
    <t>序号</t>
  </si>
  <si>
    <t>部门</t>
  </si>
  <si>
    <t>部门预算收支情况</t>
  </si>
  <si>
    <t>收入</t>
  </si>
  <si>
    <t>支出</t>
  </si>
  <si>
    <t>财政拨款</t>
  </si>
  <si>
    <t>上级财政专项资金</t>
  </si>
  <si>
    <t>新增一般定向债券收入</t>
  </si>
  <si>
    <t>人员经费</t>
  </si>
  <si>
    <t>公用运转经费</t>
  </si>
  <si>
    <t>县本级财政专项资金</t>
  </si>
  <si>
    <t>新增一般定向债券支出</t>
  </si>
  <si>
    <t>小计</t>
  </si>
  <si>
    <t>公务接待费支出最高限额控制数</t>
  </si>
  <si>
    <t>会议费支出最高限额控制数</t>
  </si>
  <si>
    <t>其他商品和服务支出最高控制数</t>
  </si>
  <si>
    <t>县委办</t>
  </si>
  <si>
    <t>人大办</t>
  </si>
  <si>
    <t>政府办</t>
  </si>
  <si>
    <t>政协办</t>
  </si>
  <si>
    <t>纪检委（监察局）</t>
  </si>
  <si>
    <t>人武部</t>
  </si>
  <si>
    <t>组织部</t>
  </si>
  <si>
    <t>宣传部</t>
  </si>
  <si>
    <t>政法委</t>
  </si>
  <si>
    <t>统战部</t>
  </si>
  <si>
    <t>编委办</t>
  </si>
  <si>
    <t>考核办</t>
  </si>
  <si>
    <t>机关工委</t>
  </si>
  <si>
    <t>老干局</t>
  </si>
  <si>
    <t>档案史志馆</t>
  </si>
  <si>
    <t>党校</t>
  </si>
  <si>
    <t>总工会</t>
  </si>
  <si>
    <t>团县委</t>
  </si>
  <si>
    <t>妇联</t>
  </si>
  <si>
    <t>工商联</t>
  </si>
  <si>
    <t>残联</t>
  </si>
  <si>
    <t>发改局</t>
  </si>
  <si>
    <t>通用机场筹建办公室</t>
  </si>
  <si>
    <t>教体局</t>
  </si>
  <si>
    <t>经贸局</t>
  </si>
  <si>
    <t>月河工业集中区</t>
  </si>
  <si>
    <t>公安局</t>
  </si>
  <si>
    <t>交警队</t>
  </si>
  <si>
    <t>消防队</t>
  </si>
  <si>
    <t>民政局</t>
  </si>
  <si>
    <t>司法局</t>
  </si>
  <si>
    <t>审计局</t>
  </si>
  <si>
    <t>财政局</t>
  </si>
  <si>
    <t>人社局</t>
  </si>
  <si>
    <t>自然资源局</t>
  </si>
  <si>
    <t>住建局</t>
  </si>
  <si>
    <t>世行办（住建局）</t>
  </si>
  <si>
    <t>创建办</t>
  </si>
  <si>
    <t>安康市生态环境局汉阴分局</t>
  </si>
  <si>
    <t>交通局</t>
  </si>
  <si>
    <t>水利局</t>
  </si>
  <si>
    <t>林业局</t>
  </si>
  <si>
    <t>农业农村局</t>
  </si>
  <si>
    <t>月河现代农业园区</t>
  </si>
  <si>
    <t>文广局</t>
  </si>
  <si>
    <t>三沈文化产业园</t>
  </si>
  <si>
    <t>卫健局</t>
  </si>
  <si>
    <t>医保局</t>
  </si>
  <si>
    <t>退役军人事务局</t>
  </si>
  <si>
    <t>市场监管局</t>
  </si>
  <si>
    <t>统计局</t>
  </si>
  <si>
    <t>应急局</t>
  </si>
  <si>
    <t>信访局</t>
  </si>
  <si>
    <t>扶贫开发局</t>
  </si>
  <si>
    <t>招商服务中心</t>
  </si>
  <si>
    <t>接待处</t>
  </si>
  <si>
    <t>气象局</t>
  </si>
  <si>
    <t>洞河办</t>
  </si>
  <si>
    <t>供销联社</t>
  </si>
  <si>
    <t>行政审批服务局</t>
  </si>
  <si>
    <t>文联</t>
  </si>
  <si>
    <t>科协</t>
  </si>
  <si>
    <t>老体协</t>
  </si>
  <si>
    <t>老促会</t>
  </si>
  <si>
    <t>凤堰古梯田移民生态博物馆</t>
  </si>
  <si>
    <t>划转人员经费</t>
  </si>
  <si>
    <t>财政专户</t>
  </si>
  <si>
    <t>说明: 1、表列部门（单位）为财政预算管理单位，仅代表部门（单位）预算级次，不代表部门（单位）性质和级别；
      2、公用运转经费包含分档定员定额公用运转经费和重点工作经费两部分，分档定额公用经费按照2020年分档定额标准，根据县编办核定的编制人数测算;重点工作经费按照单位职能职责、上级有关规定和当年县委、县政府安排的重点工作项目情况适当安排。 
      3、公用运转经费含公务接待费、公车运行及公务交通补贴、会议费、差旅费、培训费、办公费、印刷费、水电邮电费、工会经费等商品和服务支出。其中公务接待费、会议费实行最高限额控制；车改公务交通补贴严格按县人社局批复的补贴人员范围和标准发放；一般公务租车费严格按公车办核定的里程费用标准列报，保留的一般公务用车、执法执勤及特种用途车辆运行费按每辆每年不超过6万元控制支出；因公出国（境）必须严格履行审批后方可列支；工会经费按单位干部职工工资总额的2%预算到各镇、各部门公用经费中，由各镇、各部门严格按规定管理使用。其他商品和服务支出应本着厉行节约、从紧必须、量财办事的原则由各单位合理安排并细化到具体经济分类科目，无特殊原因一律不予追加预算。
      4、因大幅提高部门公用运转经费标准和重点工作经费预算，对部门非税收入严格实行“收支两条线”管理，除上解上级外，实行财政全额统筹，无特殊原因一律不予返回安排。对负有协税护税或非税收入征管职责的单位，未认真履行协税护税职责或非税收入征管职责，应征不征、少征、漏征、违规减、免、缓等，造成税收或非税收入流失的，一律相应扣减该单位公用运转或县本级专项资金财政拨款。
      5、县本级财政专项资金未明细到具体项目的，由各单位在预算批复后15日内明确细化到具体项目，经财政初审、政府审定后，由预算单位严格按项目管理程序组织实施，未经批准不得擅自改变资金用途。
      6、由于上级财政专项资金具有不确定性，年初预算暂不预算到各部门，待年底据实列支结算。</t>
  </si>
  <si>
    <t>汉阴县2020年政府性基金预算收支计划表</t>
  </si>
  <si>
    <t>(表十六）</t>
  </si>
  <si>
    <t>2、城市基础设施配套费收入</t>
  </si>
  <si>
    <t xml:space="preserve">  1、征地拆迁补偿支出（自然资源局）</t>
  </si>
  <si>
    <t>用于土地收储等相关支出</t>
  </si>
  <si>
    <t>3、其他政府性基金收入</t>
  </si>
  <si>
    <t xml:space="preserve">  2、土地开发支出（自然资源局）</t>
  </si>
  <si>
    <t>宅基地腾退及占补平衡补充耕地费用</t>
  </si>
  <si>
    <t xml:space="preserve">  5、国土空间规划编制工作（自然资源局）</t>
  </si>
  <si>
    <t>用于2020年度全县开展国土空间规划编制工作</t>
  </si>
  <si>
    <t xml:space="preserve">  6、城市规划费及城市维护费（自然资源局、住建局）</t>
  </si>
  <si>
    <t>用于城市相关规划的编制及城市维护支出</t>
  </si>
  <si>
    <t xml:space="preserve">  7、城市建设支出（住建局）</t>
  </si>
  <si>
    <t>含城市建设支出、垃圾处理厂二期扩容建设支出、公租房保障、棚户区改造、城镇老旧小区改造支出（其中：龙岗公园建设支出200万元）</t>
  </si>
  <si>
    <t xml:space="preserve">  8、城市照明电费（住建局）</t>
  </si>
  <si>
    <t xml:space="preserve">  9、禁养区养殖场关停奖补</t>
  </si>
  <si>
    <t>用于禁养区关停规模畜禽养殖场（户）补助支出。1、汉阴县人民政府办公室关于印发《关停禁养区内规模畜禽养殖场（户）及清理整治非禁养区内养殖场（户）工作实施方案》（试行）的通知（汉政办发〔2019〕35号）；2、汉阴县人民政府办公室《关于印发禁养区规模畜禽养殖场关停奖补方案的通知》（汉政办发〔2019〕41号）</t>
  </si>
  <si>
    <t xml:space="preserve">  10、世行项目县级配套资金（世行办）</t>
  </si>
  <si>
    <t xml:space="preserve">  11、汉阴县水务信息大楼及丰台绿地综合体项目</t>
  </si>
  <si>
    <t>按照政府（2019）33号会议纪要，用于建设汉阴县水务信息大楼及凤台绿地综合体项目。</t>
  </si>
  <si>
    <t xml:space="preserve">  12、重点交通项目建设支出</t>
  </si>
  <si>
    <t>用于全县各类重点交通项目建设相关支出</t>
  </si>
  <si>
    <t xml:space="preserve">  13、重点镇建设基金（涧池镇）</t>
  </si>
  <si>
    <t>汉阴县2020年国有资本经营预算收支计划表</t>
  </si>
  <si>
    <t>（表十七）</t>
  </si>
  <si>
    <t>汉阴县2020年社会保险基金预算收支计划汇总表</t>
  </si>
  <si>
    <t>(表十八）</t>
  </si>
  <si>
    <t>汉阴县2020年新型农村合作医疗基金预算收支计划明细表</t>
  </si>
  <si>
    <t>(表十九）</t>
  </si>
  <si>
    <r>
      <t>440</t>
    </r>
    <r>
      <rPr>
        <sz val="10"/>
        <rFont val="Arial"/>
        <family val="2"/>
      </rPr>
      <t>×</t>
    </r>
    <r>
      <rPr>
        <sz val="10"/>
        <rFont val="宋体"/>
        <family val="0"/>
      </rPr>
      <t>262407=11545.9万元</t>
    </r>
  </si>
  <si>
    <r>
      <t>107</t>
    </r>
    <r>
      <rPr>
        <sz val="10"/>
        <rFont val="Arial"/>
        <family val="2"/>
      </rPr>
      <t>×</t>
    </r>
    <r>
      <rPr>
        <sz val="10"/>
        <rFont val="宋体"/>
        <family val="0"/>
      </rPr>
      <t>262407=2807.75万元</t>
    </r>
  </si>
  <si>
    <r>
      <t>0.3</t>
    </r>
    <r>
      <rPr>
        <sz val="10"/>
        <rFont val="Arial"/>
        <family val="2"/>
      </rPr>
      <t>×</t>
    </r>
    <r>
      <rPr>
        <sz val="10"/>
        <rFont val="宋体"/>
        <family val="0"/>
      </rPr>
      <t>262407=7.87</t>
    </r>
  </si>
  <si>
    <r>
      <t>2.7</t>
    </r>
    <r>
      <rPr>
        <sz val="10"/>
        <rFont val="Arial"/>
        <family val="2"/>
      </rPr>
      <t>×</t>
    </r>
    <r>
      <rPr>
        <sz val="10"/>
        <rFont val="宋体"/>
        <family val="0"/>
      </rPr>
      <t>262407=70.85</t>
    </r>
  </si>
  <si>
    <t>250*262407=6560.17</t>
  </si>
  <si>
    <t>预计全县门诊慢病预计报销7222余人次，人均1250元</t>
  </si>
  <si>
    <r>
      <t>每月普通门诊预计报销（141.92万元</t>
    </r>
    <r>
      <rPr>
        <sz val="10"/>
        <rFont val="Arial"/>
        <family val="2"/>
      </rPr>
      <t>×</t>
    </r>
    <r>
      <rPr>
        <sz val="10"/>
        <rFont val="宋体"/>
        <family val="0"/>
      </rPr>
      <t>12个月）</t>
    </r>
  </si>
  <si>
    <t>三、上年结余</t>
  </si>
  <si>
    <t>汉阴县2020年城镇居民基本医疗保险基金预算收支计划明细表</t>
  </si>
  <si>
    <t>（表二十）</t>
  </si>
  <si>
    <t>预算
调整数</t>
  </si>
  <si>
    <t>全县共计16110人参保，参照上年各级补助系数计算：2019年财政补助550元×0.8</t>
  </si>
  <si>
    <t>全县共计16110人参保，参照上年各级补助系数计算：2019年财政补助550元×0.137</t>
  </si>
  <si>
    <t>全县共计16110人参保，参照上年各级补助系数计算：2019年财政补助550元×0.006</t>
  </si>
  <si>
    <t>全县共计16110人参保，参照上年各级补助系数计算：2019年财政补助550元×0.056</t>
  </si>
  <si>
    <t>汉阴县2020年城镇居民养老保险基金预算收支计划明细表</t>
  </si>
  <si>
    <t>（表二十一）</t>
  </si>
  <si>
    <t>基础养老金补贴：预计2020年待遇发放48091人，中央按人均88元/月补贴，88元×48091×12=5078.41万元，陕人社发【2018】24号文件</t>
  </si>
  <si>
    <r>
      <t xml:space="preserve">　　A、基础养老金补贴：预计2020年待遇发放48091人，省级按人均7.5元/月补贴，7.5元×48091×12=432.82万元（陕人社发[2017]60号）
　　B、个人缴费补贴：预计2020年度112850人缴费，人均需补贴32元、省级承担50%，32元×112850×50%=180.56万元(陕政发〔2014〕25号、安人社发〔2019〕35号)                                         </t>
    </r>
    <r>
      <rPr>
        <sz val="9"/>
        <color indexed="10"/>
        <rFont val="宋体"/>
        <family val="0"/>
      </rPr>
      <t xml:space="preserve">                                   
　　</t>
    </r>
    <r>
      <rPr>
        <sz val="9"/>
        <rFont val="宋体"/>
        <family val="0"/>
      </rPr>
      <t>C、代缴费：①重度残疾人代缴费：2020年度需代缴重度残疾人1842人，省级代缴100元/人，                  100元×1842=18.42万元(陕政发〔2014〕25号)；②贫困人口代缴费：2020年度需代缴贫困人口2453人，人均需补贴50元、省级承担50%，50元×2453×50%=6.13万元（陕人社发[2017]60号）
　　D、丧葬费补贴：预计2020年死亡1430人，800×1430×50%=57.2万元（陕政发（2014）25号）</t>
    </r>
    <r>
      <rPr>
        <sz val="9"/>
        <color indexed="10"/>
        <rFont val="宋体"/>
        <family val="0"/>
      </rPr>
      <t xml:space="preserve">
　　</t>
    </r>
    <r>
      <rPr>
        <sz val="9"/>
        <rFont val="宋体"/>
        <family val="0"/>
      </rPr>
      <t xml:space="preserve">E、部分退役军人：①2020年60岁以上部分退役军人共144人，月人均补贴195元，省级承担50%，195×144×12×50%=16.85万元；②预计死亡15人，省级承担补贴195×（139-72）×15×50%=9.79万元（陕人社发〔2015〕7号）        </t>
    </r>
  </si>
  <si>
    <r>
      <t xml:space="preserve">　　A、基础养老金：市级按年龄梯次进行补贴、标准为：0.75、1.25、2.25、5.25、10.25元，人均水平约为1.035元/月，2019年需要补贴1.035元×48091×12=59.71万元（安人社发〔2019〕35号）
　　B、个人缴费补贴：预计2020年度112850人缴费，市级约需补贴18.05万元(安人社发〔2019〕35号)
　　C、代缴费：贫困人口代缴费：2020年度需代缴贫困人口 2453人，人均补贴50元、市级承担5%，50元×2453×5%=0.61万元（陕人社发[2017]60号）                   </t>
    </r>
    <r>
      <rPr>
        <sz val="9"/>
        <color indexed="10"/>
        <rFont val="宋体"/>
        <family val="0"/>
      </rPr>
      <t xml:space="preserve">                                                                                 
　　</t>
    </r>
    <r>
      <rPr>
        <sz val="9"/>
        <rFont val="宋体"/>
        <family val="0"/>
      </rPr>
      <t>D、丧葬费补贴：预计2020年死亡1430人，800×1430×5%=5.72万元  （陕政发（2014）25号）</t>
    </r>
    <r>
      <rPr>
        <sz val="9"/>
        <color indexed="10"/>
        <rFont val="宋体"/>
        <family val="0"/>
      </rPr>
      <t xml:space="preserve">
　　</t>
    </r>
    <r>
      <rPr>
        <sz val="9"/>
        <rFont val="宋体"/>
        <family val="0"/>
      </rPr>
      <t>E、部分退役军人：①2020年60岁以上部分退役军人共144人，月人均补贴195元，市级承担5%，195×144×12×5%=1.68万元；②预计死亡15人，市级承担补贴195×（139-72）×15×5%=0.98万元（陕人社发〔2015〕7号）</t>
    </r>
    <r>
      <rPr>
        <sz val="9"/>
        <color indexed="10"/>
        <rFont val="宋体"/>
        <family val="0"/>
      </rPr>
      <t xml:space="preserve">                                                                                               </t>
    </r>
  </si>
  <si>
    <t xml:space="preserve">　　A、基础养老金补贴：预计2020年待遇发放48091人，县级月人均补贴14.59元，14.59元×48091×12=841.98万元（安人社发[2019]35号）                                                                                   
　　B、个人缴费补贴：预计2020年度112850人缴费，人均需补贴32元、县级承担14.4元，14.4元×112850=162.5万元（安人社发[2019]35号）                                                                            
　　C、代缴费：①中轻度残疾人代缴费：2020年度需代缴中轻度残疾人3070人，县级代缴50元/人，50元×3070=15.35万元(汉政发〔2011〕115号) ；②2020年需代缴五保户贫374人，县级代缴100元/人,100×374=3.74万元（汉人社〔2014〕150号）；③困人口代缴费：2020年度需代缴贫困人口2453人（未脱贫1761人，低保692人），人均需补贴50元、县级承担45%，50元×1761×45%=5.52万元（陕人社发[2017]60号）
　　D、丧葬费补贴：预计2020年死亡1430人，800×1430×45%=51.48万元（陕政发（2014）25号）
　　E、部分退役军人：①2019年60岁以上部分退役军人共144人，月人均补贴195元，县级承担45%，195×144×12×45%=15.16万元；②预计死亡15人，县级承担补贴195×（139-72）×15×45%=8.82万元（ 陕人社发〔2015〕7号 ）                                                                   
　　F、十类人员工龄补贴： 2020年应享受工龄补贴共4572人（其中教育及国企精简1019人）， 工龄年数共37198年（其中教育及国企精简10566年）， 教育及国企精简人员补贴标准11.48元，其他类补贴标准7.7元。11.48×10566×12＋7.7×26632×12=391.64万元。（安政办发〔2011〕37号、 陕人社发〔2011〕178号、安市字〔2014〕194号 、 陕人社函〔2019〕405号、陕教〔2019〕240号）                           </t>
  </si>
  <si>
    <t>其中定存到期利息约443万元</t>
  </si>
  <si>
    <t>7、转移收入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</si>
</sst>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_-&quot;$&quot;* #,##0.00_-;\-&quot;$&quot;* #,##0.00_-;_-&quot;$&quot;* &quot;-&quot;??_-;_-@_-"/>
    <numFmt numFmtId="178" formatCode="0.0"/>
    <numFmt numFmtId="179" formatCode="&quot;$&quot;\ #,##0.00_-;[Red]&quot;$&quot;\ #,##0.00\-"/>
    <numFmt numFmtId="180" formatCode="0.00_)"/>
    <numFmt numFmtId="181" formatCode="#,##0;\(#,##0\)"/>
    <numFmt numFmtId="182" formatCode="_-* #,##0\ _k_r_-;\-* #,##0\ _k_r_-;_-* &quot;-&quot;\ _k_r_-;_-@_-"/>
    <numFmt numFmtId="183" formatCode="_(&quot;$&quot;* #,##0.00_);_(&quot;$&quot;* \(#,##0.00\);_(&quot;$&quot;* &quot;-&quot;??_);_(@_)"/>
    <numFmt numFmtId="184" formatCode="_-* #,##0.00&quot;$&quot;_-;\-* #,##0.00&quot;$&quot;_-;_-* &quot;-&quot;??&quot;$&quot;_-;_-@_-"/>
    <numFmt numFmtId="185" formatCode="_-&quot;$&quot;* #,##0_-;\-&quot;$&quot;* #,##0_-;_-&quot;$&quot;* &quot;-&quot;_-;_-@_-"/>
    <numFmt numFmtId="186" formatCode="_-* #,##0.00_$_-;\-* #,##0.00_$_-;_-* &quot;-&quot;??_$_-;_-@_-"/>
    <numFmt numFmtId="187" formatCode="\$#,##0;\(\$#,##0\)"/>
    <numFmt numFmtId="188" formatCode="&quot;$&quot;#,##0_);\(&quot;$&quot;#,##0\)"/>
    <numFmt numFmtId="189" formatCode="#,##0;\-#,##0;&quot;-&quot;"/>
    <numFmt numFmtId="190" formatCode="_-* #,##0.00_-;\-* #,##0.00_-;_-* &quot;-&quot;??_-;_-@_-"/>
    <numFmt numFmtId="191" formatCode="_-&quot;$&quot;\ * #,##0.00_-;_-&quot;$&quot;\ * #,##0.00\-;_-&quot;$&quot;\ * &quot;-&quot;??_-;_-@_-"/>
    <numFmt numFmtId="192" formatCode="\$#,##0.00;\(\$#,##0.00\)"/>
    <numFmt numFmtId="193" formatCode="_-&quot;$&quot;\ * #,##0_-;_-&quot;$&quot;\ * #,##0\-;_-&quot;$&quot;\ * &quot;-&quot;_-;_-@_-"/>
    <numFmt numFmtId="194" formatCode="&quot;$&quot;#,##0.00_);[Red]\(&quot;$&quot;#,##0.00\)"/>
    <numFmt numFmtId="195" formatCode="#,##0.0_);\(#,##0.0\)"/>
    <numFmt numFmtId="196" formatCode="#\ ??/??"/>
    <numFmt numFmtId="197" formatCode="&quot;$&quot;#,##0_);[Red]\(&quot;$&quot;#,##0\)"/>
    <numFmt numFmtId="198" formatCode="&quot;綅&quot;\t#,##0_);[Red]\(&quot;綅&quot;\t#,##0\)"/>
    <numFmt numFmtId="199" formatCode="_-* #,##0.00\ _k_r_-;\-* #,##0.00\ _k_r_-;_-* &quot;-&quot;??\ _k_r_-;_-@_-"/>
    <numFmt numFmtId="200" formatCode="&quot;?\t#,##0_);[Red]\(&quot;&quot;?&quot;\t#,##0\)"/>
    <numFmt numFmtId="201" formatCode="_(&quot;$&quot;* #,##0_);_(&quot;$&quot;* \(#,##0\);_(&quot;$&quot;* &quot;-&quot;_);_(@_)"/>
    <numFmt numFmtId="202" formatCode="yy\.mm\.dd"/>
    <numFmt numFmtId="203" formatCode="_-* #,##0_$_-;\-* #,##0_$_-;_-* &quot;-&quot;_$_-;_-@_-"/>
    <numFmt numFmtId="204" formatCode="_-* #,##0&quot;$&quot;_-;\-* #,##0&quot;$&quot;_-;_-* &quot;-&quot;&quot;$&quot;_-;_-@_-"/>
    <numFmt numFmtId="205" formatCode="0_ "/>
    <numFmt numFmtId="206" formatCode="0.00_ "/>
    <numFmt numFmtId="207" formatCode="0.0_ "/>
    <numFmt numFmtId="208" formatCode="0.0_);\(0.0\)"/>
  </numFmts>
  <fonts count="97">
    <font>
      <sz val="12"/>
      <name val="宋体"/>
      <family val="0"/>
    </font>
    <font>
      <sz val="11"/>
      <name val="宋体"/>
      <family val="0"/>
    </font>
    <font>
      <sz val="20"/>
      <name val="方正小标宋简体"/>
      <family val="4"/>
    </font>
    <font>
      <sz val="11"/>
      <name val="方正小标宋简体"/>
      <family val="4"/>
    </font>
    <font>
      <sz val="9"/>
      <name val="宋体"/>
      <family val="0"/>
    </font>
    <font>
      <sz val="12"/>
      <color indexed="17"/>
      <name val="宋体"/>
      <family val="0"/>
    </font>
    <font>
      <sz val="12"/>
      <color indexed="14"/>
      <name val="宋体"/>
      <family val="0"/>
    </font>
    <font>
      <sz val="12"/>
      <color indexed="16"/>
      <name val="宋体"/>
      <family val="0"/>
    </font>
    <font>
      <sz val="10"/>
      <name val="宋体"/>
      <family val="0"/>
    </font>
    <font>
      <sz val="11"/>
      <color indexed="8"/>
      <name val="等线"/>
      <family val="0"/>
    </font>
    <font>
      <sz val="12"/>
      <name val="Times New Roman"/>
      <family val="1"/>
    </font>
    <font>
      <sz val="22"/>
      <name val="方正小标宋简体"/>
      <family val="4"/>
    </font>
    <font>
      <b/>
      <sz val="11"/>
      <name val="宋体"/>
      <family val="0"/>
    </font>
    <font>
      <sz val="12"/>
      <color indexed="8"/>
      <name val="宋体"/>
      <family val="0"/>
    </font>
    <font>
      <sz val="11"/>
      <color indexed="8"/>
      <name val="宋体"/>
      <family val="0"/>
    </font>
    <font>
      <sz val="10"/>
      <color indexed="8"/>
      <name val="宋体"/>
      <family val="0"/>
    </font>
    <font>
      <sz val="12"/>
      <color indexed="10"/>
      <name val="宋体"/>
      <family val="0"/>
    </font>
    <font>
      <sz val="12"/>
      <color indexed="53"/>
      <name val="宋体"/>
      <family val="0"/>
    </font>
    <font>
      <b/>
      <sz val="12"/>
      <color indexed="8"/>
      <name val="仿宋_GB2312"/>
      <family val="3"/>
    </font>
    <font>
      <sz val="12"/>
      <color indexed="8"/>
      <name val="隶书"/>
      <family val="3"/>
    </font>
    <font>
      <sz val="18"/>
      <name val="方正小标宋简体"/>
      <family val="4"/>
    </font>
    <font>
      <sz val="11"/>
      <color indexed="17"/>
      <name val="宋体"/>
      <family val="0"/>
    </font>
    <font>
      <sz val="10"/>
      <color indexed="10"/>
      <name val="宋体"/>
      <family val="0"/>
    </font>
    <font>
      <sz val="19"/>
      <name val="方正小标宋简体"/>
      <family val="4"/>
    </font>
    <font>
      <sz val="10"/>
      <name val="Arial"/>
      <family val="2"/>
    </font>
    <font>
      <b/>
      <sz val="11"/>
      <color indexed="63"/>
      <name val="宋体"/>
      <family val="0"/>
    </font>
    <font>
      <sz val="10"/>
      <name val="Helv"/>
      <family val="2"/>
    </font>
    <font>
      <sz val="12"/>
      <color indexed="9"/>
      <name val="宋体"/>
      <family val="0"/>
    </font>
    <font>
      <b/>
      <sz val="11"/>
      <color indexed="56"/>
      <name val="宋体"/>
      <family val="0"/>
    </font>
    <font>
      <b/>
      <sz val="11"/>
      <color indexed="9"/>
      <name val="宋体"/>
      <family val="0"/>
    </font>
    <font>
      <sz val="11"/>
      <color indexed="20"/>
      <name val="宋体"/>
      <family val="0"/>
    </font>
    <font>
      <sz val="11"/>
      <color indexed="9"/>
      <name val="宋体"/>
      <family val="0"/>
    </font>
    <font>
      <u val="single"/>
      <sz val="12"/>
      <color indexed="12"/>
      <name val="宋体"/>
      <family val="0"/>
    </font>
    <font>
      <sz val="11"/>
      <color indexed="60"/>
      <name val="宋体"/>
      <family val="0"/>
    </font>
    <font>
      <sz val="10"/>
      <color indexed="8"/>
      <name val="Arial"/>
      <family val="2"/>
    </font>
    <font>
      <sz val="12"/>
      <color indexed="20"/>
      <name val="楷体_GB2312"/>
      <family val="3"/>
    </font>
    <font>
      <sz val="12"/>
      <name val="Arial"/>
      <family val="2"/>
    </font>
    <font>
      <sz val="11"/>
      <color indexed="62"/>
      <name val="宋体"/>
      <family val="0"/>
    </font>
    <font>
      <sz val="10.5"/>
      <color indexed="17"/>
      <name val="宋体"/>
      <family val="0"/>
    </font>
    <font>
      <sz val="12"/>
      <color indexed="8"/>
      <name val="楷体_GB2312"/>
      <family val="3"/>
    </font>
    <font>
      <i/>
      <sz val="11"/>
      <color indexed="23"/>
      <name val="宋体"/>
      <family val="0"/>
    </font>
    <font>
      <u val="single"/>
      <sz val="12"/>
      <color indexed="36"/>
      <name val="宋体"/>
      <family val="0"/>
    </font>
    <font>
      <sz val="8"/>
      <name val="Times New Roman"/>
      <family val="1"/>
    </font>
    <font>
      <b/>
      <sz val="11"/>
      <color indexed="52"/>
      <name val="宋体"/>
      <family val="0"/>
    </font>
    <font>
      <b/>
      <sz val="18"/>
      <name val="Arial"/>
      <family val="2"/>
    </font>
    <font>
      <b/>
      <sz val="18"/>
      <color indexed="56"/>
      <name val="宋体"/>
      <family val="0"/>
    </font>
    <font>
      <b/>
      <sz val="12"/>
      <color indexed="8"/>
      <name val="宋体"/>
      <family val="0"/>
    </font>
    <font>
      <sz val="12"/>
      <color indexed="10"/>
      <name val="楷体_GB2312"/>
      <family val="3"/>
    </font>
    <font>
      <sz val="11"/>
      <color indexed="10"/>
      <name val="宋体"/>
      <family val="0"/>
    </font>
    <font>
      <b/>
      <sz val="15"/>
      <color indexed="56"/>
      <name val="宋体"/>
      <family val="0"/>
    </font>
    <font>
      <sz val="11"/>
      <color indexed="52"/>
      <name val="宋体"/>
      <family val="0"/>
    </font>
    <font>
      <sz val="12"/>
      <color indexed="20"/>
      <name val="宋体"/>
      <family val="0"/>
    </font>
    <font>
      <sz val="10"/>
      <name val="Geneva"/>
      <family val="2"/>
    </font>
    <font>
      <b/>
      <sz val="13"/>
      <color indexed="56"/>
      <name val="宋体"/>
      <family val="0"/>
    </font>
    <font>
      <sz val="12"/>
      <color indexed="9"/>
      <name val="楷体_GB2312"/>
      <family val="3"/>
    </font>
    <font>
      <sz val="10"/>
      <color indexed="17"/>
      <name val="宋体"/>
      <family val="0"/>
    </font>
    <font>
      <b/>
      <sz val="11"/>
      <color indexed="8"/>
      <name val="宋体"/>
      <family val="0"/>
    </font>
    <font>
      <sz val="10.5"/>
      <color indexed="20"/>
      <name val="宋体"/>
      <family val="0"/>
    </font>
    <font>
      <b/>
      <sz val="9"/>
      <name val="Arial"/>
      <family val="2"/>
    </font>
    <font>
      <sz val="12"/>
      <color indexed="17"/>
      <name val="楷体_GB2312"/>
      <family val="3"/>
    </font>
    <font>
      <sz val="12"/>
      <color indexed="62"/>
      <name val="楷体_GB2312"/>
      <family val="3"/>
    </font>
    <font>
      <b/>
      <sz val="10"/>
      <name val="Tms Rmn"/>
      <family val="2"/>
    </font>
    <font>
      <sz val="7"/>
      <name val="Small Fonts"/>
      <family val="2"/>
    </font>
    <font>
      <b/>
      <sz val="18"/>
      <color indexed="62"/>
      <name val="宋体"/>
      <family val="0"/>
    </font>
    <font>
      <sz val="8"/>
      <name val="Arial"/>
      <family val="2"/>
    </font>
    <font>
      <b/>
      <sz val="12"/>
      <color indexed="52"/>
      <name val="楷体_GB2312"/>
      <family val="3"/>
    </font>
    <font>
      <sz val="10"/>
      <color indexed="20"/>
      <name val="宋体"/>
      <family val="0"/>
    </font>
    <font>
      <sz val="10"/>
      <name val="Times New Roman"/>
      <family val="1"/>
    </font>
    <font>
      <b/>
      <sz val="12"/>
      <name val="Arial"/>
      <family val="2"/>
    </font>
    <font>
      <sz val="12"/>
      <name val="Courier"/>
      <family val="2"/>
    </font>
    <font>
      <b/>
      <i/>
      <sz val="16"/>
      <name val="Helv"/>
      <family val="2"/>
    </font>
    <font>
      <b/>
      <sz val="12"/>
      <color indexed="8"/>
      <name val="楷体_GB2312"/>
      <family val="3"/>
    </font>
    <font>
      <sz val="12"/>
      <name val="Helv"/>
      <family val="2"/>
    </font>
    <font>
      <b/>
      <sz val="12"/>
      <color indexed="9"/>
      <name val="楷体_GB2312"/>
      <family val="3"/>
    </font>
    <font>
      <sz val="10"/>
      <name val="MS Sans Serif"/>
      <family val="2"/>
    </font>
    <font>
      <sz val="7"/>
      <name val="Helv"/>
      <family val="2"/>
    </font>
    <font>
      <b/>
      <sz val="10"/>
      <name val="MS Sans Serif"/>
      <family val="2"/>
    </font>
    <font>
      <sz val="12"/>
      <color indexed="60"/>
      <name val="楷体_GB2312"/>
      <family val="3"/>
    </font>
    <font>
      <u val="single"/>
      <sz val="7.5"/>
      <color indexed="36"/>
      <name val="Arial"/>
      <family val="2"/>
    </font>
    <font>
      <sz val="10"/>
      <name val="Courier"/>
      <family val="2"/>
    </font>
    <font>
      <u val="single"/>
      <sz val="7.5"/>
      <color indexed="12"/>
      <name val="Arial"/>
      <family val="2"/>
    </font>
    <font>
      <sz val="12"/>
      <color indexed="9"/>
      <name val="Helv"/>
      <family val="2"/>
    </font>
    <font>
      <sz val="7"/>
      <color indexed="10"/>
      <name val="Helv"/>
      <family val="2"/>
    </font>
    <font>
      <sz val="10"/>
      <color indexed="8"/>
      <name val="MS Sans Serif"/>
      <family val="2"/>
    </font>
    <font>
      <b/>
      <sz val="15"/>
      <color indexed="56"/>
      <name val="楷体_GB2312"/>
      <family val="3"/>
    </font>
    <font>
      <b/>
      <sz val="11"/>
      <color indexed="56"/>
      <name val="楷体_GB2312"/>
      <family val="3"/>
    </font>
    <font>
      <b/>
      <sz val="14"/>
      <name val="楷体"/>
      <family val="3"/>
    </font>
    <font>
      <b/>
      <sz val="13"/>
      <color indexed="56"/>
      <name val="楷体_GB2312"/>
      <family val="3"/>
    </font>
    <font>
      <sz val="10"/>
      <name val="楷体"/>
      <family val="3"/>
    </font>
    <font>
      <sz val="12"/>
      <name val="바탕체"/>
      <family val="3"/>
    </font>
    <font>
      <b/>
      <sz val="12"/>
      <color indexed="63"/>
      <name val="楷体_GB2312"/>
      <family val="3"/>
    </font>
    <font>
      <sz val="12"/>
      <color indexed="52"/>
      <name val="楷体_GB2312"/>
      <family val="3"/>
    </font>
    <font>
      <i/>
      <sz val="12"/>
      <color indexed="23"/>
      <name val="楷体_GB2312"/>
      <family val="3"/>
    </font>
    <font>
      <sz val="12"/>
      <name val="官帕眉"/>
      <family val="0"/>
    </font>
    <font>
      <sz val="12"/>
      <name val="新細明體"/>
      <family val="1"/>
    </font>
    <font>
      <sz val="9"/>
      <color indexed="10"/>
      <name val="宋体"/>
      <family val="0"/>
    </font>
    <font>
      <sz val="11"/>
      <color theme="1"/>
      <name val="Calibri"/>
      <family val="0"/>
    </font>
  </fonts>
  <fills count="3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3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57"/>
        <bgColor indexed="64"/>
      </patternFill>
    </fill>
    <fill>
      <patternFill patternType="solid">
        <fgColor indexed="30"/>
        <bgColor indexed="64"/>
      </patternFill>
    </fill>
    <fill>
      <patternFill patternType="solid">
        <fgColor indexed="54"/>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mediumGray">
        <fgColor indexed="22"/>
      </patternFill>
    </fill>
    <fill>
      <patternFill patternType="lightUp">
        <fgColor indexed="9"/>
        <bgColor indexed="55"/>
      </patternFill>
    </fill>
    <fill>
      <patternFill patternType="gray0625"/>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lightUp">
        <fgColor indexed="9"/>
        <bgColor indexed="29"/>
      </patternFill>
    </fill>
    <fill>
      <patternFill patternType="lightUp">
        <fgColor indexed="9"/>
        <bgColor indexed="22"/>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border>
    <border>
      <left style="thin"/>
      <right style="thin"/>
      <top/>
      <bottom style="thin"/>
    </border>
    <border>
      <left/>
      <right/>
      <top style="thin"/>
      <bottom/>
    </border>
    <border>
      <left/>
      <right/>
      <top style="medium"/>
      <bottom style="medium"/>
    </border>
    <border>
      <left/>
      <right/>
      <top style="thin"/>
      <bottom style="thin"/>
    </border>
    <border>
      <left/>
      <right/>
      <top/>
      <bottom style="medium"/>
    </border>
    <border>
      <left/>
      <right style="thin"/>
      <top/>
      <bottom style="thin"/>
    </border>
    <border>
      <left>
        <color indexed="63"/>
      </left>
      <right>
        <color indexed="63"/>
      </right>
      <top>
        <color indexed="63"/>
      </top>
      <bottom style="thin"/>
    </border>
    <border>
      <left style="thin"/>
      <right style="thin"/>
      <top style="thin"/>
      <bottom/>
    </border>
    <border>
      <left/>
      <right style="thin"/>
      <top style="thin"/>
      <bottom style="thin"/>
    </border>
    <border>
      <left style="thin"/>
      <right>
        <color indexed="63"/>
      </right>
      <top style="thin"/>
      <bottom style="thin"/>
    </border>
  </borders>
  <cellStyleXfs count="204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42" fontId="0" fillId="0" borderId="0" applyFont="0" applyFill="0" applyBorder="0" applyAlignment="0" applyProtection="0"/>
    <xf numFmtId="0" fontId="26" fillId="0" borderId="0">
      <alignment vertical="center"/>
      <protection/>
    </xf>
    <xf numFmtId="0" fontId="26" fillId="0" borderId="0">
      <alignment/>
      <protection/>
    </xf>
    <xf numFmtId="0" fontId="14" fillId="2" borderId="0" applyNumberFormat="0" applyBorder="0" applyAlignment="0" applyProtection="0"/>
    <xf numFmtId="0" fontId="26" fillId="0" borderId="0">
      <alignment/>
      <protection/>
    </xf>
    <xf numFmtId="0" fontId="37" fillId="3" borderId="1" applyNumberFormat="0" applyAlignment="0" applyProtection="0"/>
    <xf numFmtId="0" fontId="31" fillId="4" borderId="0" applyNumberFormat="0" applyBorder="0" applyAlignment="0" applyProtection="0"/>
    <xf numFmtId="0" fontId="26" fillId="0" borderId="0">
      <alignment/>
      <protection/>
    </xf>
    <xf numFmtId="44" fontId="0" fillId="0" borderId="0" applyFont="0" applyFill="0" applyBorder="0" applyAlignment="0" applyProtection="0"/>
    <xf numFmtId="0" fontId="31" fillId="5" borderId="0" applyNumberFormat="0" applyBorder="0" applyAlignment="0" applyProtection="0"/>
    <xf numFmtId="0" fontId="0" fillId="0" borderId="0">
      <alignment/>
      <protection/>
    </xf>
    <xf numFmtId="0" fontId="13" fillId="6" borderId="0" applyNumberFormat="0" applyBorder="0" applyAlignment="0" applyProtection="0"/>
    <xf numFmtId="41" fontId="0" fillId="0" borderId="0" applyFont="0" applyFill="0" applyBorder="0" applyAlignment="0" applyProtection="0"/>
    <xf numFmtId="0" fontId="14" fillId="0" borderId="0">
      <alignment vertical="center"/>
      <protection/>
    </xf>
    <xf numFmtId="0" fontId="14"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43" fontId="0" fillId="0" borderId="0" applyFont="0" applyFill="0" applyBorder="0" applyAlignment="0" applyProtection="0"/>
    <xf numFmtId="0" fontId="31" fillId="7" borderId="0" applyNumberFormat="0" applyBorder="0" applyAlignment="0" applyProtection="0"/>
    <xf numFmtId="0" fontId="34" fillId="0" borderId="0">
      <alignment vertical="top"/>
      <protection/>
    </xf>
    <xf numFmtId="0" fontId="32" fillId="0" borderId="0" applyNumberFormat="0" applyFill="0" applyBorder="0" applyAlignment="0" applyProtection="0"/>
    <xf numFmtId="41" fontId="0" fillId="0" borderId="0" applyFont="0" applyFill="0" applyBorder="0" applyAlignment="0" applyProtection="0"/>
    <xf numFmtId="0" fontId="27" fillId="9" borderId="0" applyNumberFormat="0" applyBorder="0" applyAlignment="0" applyProtection="0"/>
    <xf numFmtId="9" fontId="0" fillId="0" borderId="0" applyFont="0" applyFill="0" applyBorder="0" applyAlignment="0" applyProtection="0"/>
    <xf numFmtId="0" fontId="21" fillId="2" borderId="0" applyNumberFormat="0" applyBorder="0" applyAlignment="0" applyProtection="0"/>
    <xf numFmtId="0" fontId="30" fillId="8" borderId="0" applyNumberFormat="0" applyBorder="0" applyAlignment="0" applyProtection="0"/>
    <xf numFmtId="0" fontId="31" fillId="10" borderId="0" applyNumberFormat="0" applyBorder="0" applyAlignment="0" applyProtection="0"/>
    <xf numFmtId="0" fontId="41" fillId="0" borderId="0" applyNumberFormat="0" applyFill="0" applyBorder="0" applyAlignment="0" applyProtection="0"/>
    <xf numFmtId="0" fontId="30" fillId="8" borderId="0" applyNumberFormat="0" applyBorder="0" applyAlignment="0" applyProtection="0"/>
    <xf numFmtId="0" fontId="10" fillId="0" borderId="0">
      <alignment/>
      <protection/>
    </xf>
    <xf numFmtId="0" fontId="0" fillId="11" borderId="2" applyNumberFormat="0" applyFont="0" applyAlignment="0" applyProtection="0"/>
    <xf numFmtId="0" fontId="27"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5" fillId="8" borderId="0" applyNumberFormat="0" applyBorder="0" applyAlignment="0" applyProtection="0"/>
    <xf numFmtId="0" fontId="30" fillId="8" borderId="0" applyNumberFormat="0" applyBorder="0" applyAlignment="0" applyProtection="0"/>
    <xf numFmtId="0" fontId="26" fillId="0" borderId="0">
      <alignment/>
      <protection/>
    </xf>
    <xf numFmtId="0" fontId="28" fillId="0" borderId="0" applyNumberFormat="0" applyFill="0" applyBorder="0" applyAlignment="0" applyProtection="0"/>
    <xf numFmtId="0" fontId="10" fillId="0" borderId="0">
      <alignment vertical="center"/>
      <protection/>
    </xf>
    <xf numFmtId="0" fontId="48" fillId="0" borderId="0" applyNumberFormat="0" applyFill="0" applyBorder="0" applyAlignment="0" applyProtection="0"/>
    <xf numFmtId="0" fontId="0" fillId="0" borderId="0">
      <alignment/>
      <protection/>
    </xf>
    <xf numFmtId="0" fontId="54" fillId="13" borderId="0" applyNumberFormat="0" applyBorder="0" applyAlignment="0" applyProtection="0"/>
    <xf numFmtId="0" fontId="45" fillId="0" borderId="0" applyNumberFormat="0" applyFill="0" applyBorder="0" applyAlignment="0" applyProtection="0"/>
    <xf numFmtId="0" fontId="13" fillId="11" borderId="0" applyNumberFormat="0" applyBorder="0" applyAlignment="0" applyProtection="0"/>
    <xf numFmtId="0" fontId="27" fillId="12" borderId="0" applyNumberFormat="0" applyBorder="0" applyAlignment="0" applyProtection="0"/>
    <xf numFmtId="0" fontId="24" fillId="0" borderId="0">
      <alignment vertical="center"/>
      <protection/>
    </xf>
    <xf numFmtId="0" fontId="40" fillId="0" borderId="0" applyNumberFormat="0" applyFill="0" applyBorder="0" applyAlignment="0" applyProtection="0"/>
    <xf numFmtId="0" fontId="49" fillId="0" borderId="3" applyNumberFormat="0" applyFill="0" applyAlignment="0" applyProtection="0"/>
    <xf numFmtId="0" fontId="10" fillId="0" borderId="0">
      <alignment vertical="center"/>
      <protection/>
    </xf>
    <xf numFmtId="0" fontId="53" fillId="0" borderId="4" applyNumberFormat="0" applyFill="0" applyAlignment="0" applyProtection="0"/>
    <xf numFmtId="0" fontId="31" fillId="15" borderId="0" applyNumberFormat="0" applyBorder="0" applyAlignment="0" applyProtection="0"/>
    <xf numFmtId="0" fontId="31" fillId="10" borderId="0" applyNumberFormat="0" applyBorder="0" applyAlignment="0" applyProtection="0"/>
    <xf numFmtId="0" fontId="27" fillId="16" borderId="0" applyNumberFormat="0" applyBorder="0" applyAlignment="0" applyProtection="0"/>
    <xf numFmtId="0" fontId="26" fillId="0" borderId="0">
      <alignment vertical="center"/>
      <protection/>
    </xf>
    <xf numFmtId="0" fontId="28" fillId="0" borderId="5" applyNumberFormat="0" applyFill="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1" fillId="10" borderId="0" applyNumberFormat="0" applyBorder="0" applyAlignment="0" applyProtection="0"/>
    <xf numFmtId="0" fontId="26" fillId="0" borderId="0">
      <alignment/>
      <protection/>
    </xf>
    <xf numFmtId="0" fontId="25" fillId="6" borderId="6" applyNumberFormat="0" applyAlignment="0" applyProtection="0"/>
    <xf numFmtId="0" fontId="21" fillId="2" borderId="0" applyNumberFormat="0" applyBorder="0" applyAlignment="0" applyProtection="0"/>
    <xf numFmtId="0" fontId="30" fillId="8" borderId="0" applyNumberFormat="0" applyBorder="0" applyAlignment="0" applyProtection="0"/>
    <xf numFmtId="0" fontId="96" fillId="0" borderId="0">
      <alignment vertical="center"/>
      <protection/>
    </xf>
    <xf numFmtId="0" fontId="14" fillId="0" borderId="0">
      <alignment vertical="center"/>
      <protection/>
    </xf>
    <xf numFmtId="0" fontId="52" fillId="0" borderId="0">
      <alignment/>
      <protection/>
    </xf>
    <xf numFmtId="0" fontId="43" fillId="6" borderId="1" applyNumberFormat="0" applyAlignment="0" applyProtection="0"/>
    <xf numFmtId="0" fontId="39" fillId="17" borderId="0" applyNumberFormat="0" applyBorder="0" applyAlignment="0" applyProtection="0"/>
    <xf numFmtId="0" fontId="34" fillId="0" borderId="0">
      <alignment vertical="top"/>
      <protection/>
    </xf>
    <xf numFmtId="0" fontId="29" fillId="9" borderId="7" applyNumberFormat="0" applyAlignment="0" applyProtection="0"/>
    <xf numFmtId="0" fontId="14" fillId="3" borderId="0" applyNumberFormat="0" applyBorder="0" applyAlignment="0" applyProtection="0"/>
    <xf numFmtId="0" fontId="31" fillId="18" borderId="0" applyNumberFormat="0" applyBorder="0" applyAlignment="0" applyProtection="0"/>
    <xf numFmtId="0" fontId="14" fillId="0" borderId="0">
      <alignment vertical="center"/>
      <protection/>
    </xf>
    <xf numFmtId="0" fontId="50" fillId="0" borderId="8" applyNumberFormat="0" applyFill="0" applyAlignment="0" applyProtection="0"/>
    <xf numFmtId="0" fontId="56" fillId="0" borderId="9" applyNumberFormat="0" applyFill="0" applyAlignment="0" applyProtection="0"/>
    <xf numFmtId="0" fontId="57" fillId="17"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14" fillId="2" borderId="0" applyNumberFormat="0" applyBorder="0" applyAlignment="0" applyProtection="0"/>
    <xf numFmtId="0" fontId="33" fillId="19" borderId="0" applyNumberFormat="0" applyBorder="0" applyAlignment="0" applyProtection="0"/>
    <xf numFmtId="0" fontId="14" fillId="20" borderId="0" applyNumberFormat="0" applyBorder="0" applyAlignment="0" applyProtection="0"/>
    <xf numFmtId="0" fontId="5" fillId="20" borderId="0" applyNumberFormat="0" applyBorder="0" applyAlignment="0" applyProtection="0"/>
    <xf numFmtId="0" fontId="31" fillId="5" borderId="0" applyNumberFormat="0" applyBorder="0" applyAlignment="0" applyProtection="0"/>
    <xf numFmtId="0" fontId="0" fillId="0" borderId="0">
      <alignment vertical="center"/>
      <protection/>
    </xf>
    <xf numFmtId="0" fontId="14" fillId="2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26" fillId="0" borderId="0">
      <alignment vertical="center"/>
      <protection/>
    </xf>
    <xf numFmtId="0" fontId="14" fillId="8" borderId="0" applyNumberFormat="0" applyBorder="0" applyAlignment="0" applyProtection="0"/>
    <xf numFmtId="0" fontId="14" fillId="13" borderId="0" applyNumberFormat="0" applyBorder="0" applyAlignment="0" applyProtection="0"/>
    <xf numFmtId="41" fontId="0" fillId="0" borderId="0" applyFont="0" applyFill="0" applyBorder="0" applyAlignment="0" applyProtection="0"/>
    <xf numFmtId="0" fontId="13" fillId="6" borderId="0" applyNumberFormat="0" applyBorder="0" applyAlignment="0" applyProtection="0"/>
    <xf numFmtId="0" fontId="31" fillId="14" borderId="0" applyNumberFormat="0" applyBorder="0" applyAlignment="0" applyProtection="0"/>
    <xf numFmtId="0" fontId="0" fillId="0" borderId="0">
      <alignment/>
      <protection/>
    </xf>
    <xf numFmtId="0" fontId="13" fillId="6" borderId="0" applyNumberFormat="0" applyBorder="0" applyAlignment="0" applyProtection="0"/>
    <xf numFmtId="0" fontId="31" fillId="10" borderId="0" applyNumberFormat="0" applyBorder="0" applyAlignment="0" applyProtection="0"/>
    <xf numFmtId="0" fontId="14" fillId="0" borderId="0">
      <alignment vertical="center"/>
      <protection/>
    </xf>
    <xf numFmtId="0" fontId="26" fillId="0" borderId="0">
      <alignment vertical="center"/>
      <protection/>
    </xf>
    <xf numFmtId="0" fontId="14" fillId="17" borderId="0" applyNumberFormat="0" applyBorder="0" applyAlignment="0" applyProtection="0"/>
    <xf numFmtId="0" fontId="14" fillId="17" borderId="0" applyNumberFormat="0" applyBorder="0" applyAlignment="0" applyProtection="0"/>
    <xf numFmtId="0" fontId="96" fillId="0" borderId="0">
      <alignment vertical="center"/>
      <protection/>
    </xf>
    <xf numFmtId="0" fontId="13" fillId="6" borderId="0" applyNumberFormat="0" applyBorder="0" applyAlignment="0" applyProtection="0"/>
    <xf numFmtId="0" fontId="31" fillId="4"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31" fillId="4" borderId="0" applyNumberFormat="0" applyBorder="0" applyAlignment="0" applyProtection="0"/>
    <xf numFmtId="0" fontId="24" fillId="0" borderId="0">
      <alignment vertical="center"/>
      <protection/>
    </xf>
    <xf numFmtId="0" fontId="31" fillId="22" borderId="0" applyNumberFormat="0" applyBorder="0" applyAlignment="0" applyProtection="0"/>
    <xf numFmtId="0" fontId="28" fillId="0" borderId="5" applyNumberFormat="0" applyFill="0" applyAlignment="0" applyProtection="0"/>
    <xf numFmtId="0" fontId="26" fillId="0" borderId="0">
      <alignment/>
      <protection/>
    </xf>
    <xf numFmtId="0" fontId="10" fillId="0" borderId="0">
      <alignment/>
      <protection/>
    </xf>
    <xf numFmtId="0" fontId="14" fillId="23" borderId="0" applyNumberFormat="0" applyBorder="0" applyAlignment="0" applyProtection="0"/>
    <xf numFmtId="0" fontId="31" fillId="24" borderId="0" applyNumberFormat="0" applyBorder="0" applyAlignment="0" applyProtection="0"/>
    <xf numFmtId="0" fontId="30" fillId="8" borderId="0" applyNumberFormat="0" applyBorder="0" applyAlignment="0" applyProtection="0"/>
    <xf numFmtId="0" fontId="24" fillId="0" borderId="0">
      <alignment vertical="center"/>
      <protection/>
    </xf>
    <xf numFmtId="0" fontId="0" fillId="0" borderId="0">
      <alignment vertical="center"/>
      <protection/>
    </xf>
    <xf numFmtId="0" fontId="24" fillId="0" borderId="0">
      <alignment vertical="center"/>
      <protection/>
    </xf>
    <xf numFmtId="0" fontId="26" fillId="0" borderId="0">
      <alignment vertical="center"/>
      <protection/>
    </xf>
    <xf numFmtId="0" fontId="31" fillId="22" borderId="0" applyNumberFormat="0" applyBorder="0" applyAlignment="0" applyProtection="0"/>
    <xf numFmtId="0" fontId="36" fillId="0" borderId="0" applyProtection="0">
      <alignment/>
    </xf>
    <xf numFmtId="0" fontId="31" fillId="5" borderId="0" applyNumberFormat="0" applyBorder="0" applyAlignment="0" applyProtection="0"/>
    <xf numFmtId="0" fontId="24" fillId="0" borderId="0">
      <alignment/>
      <protection/>
    </xf>
    <xf numFmtId="0" fontId="24" fillId="0" borderId="0">
      <alignment vertical="center"/>
      <protection/>
    </xf>
    <xf numFmtId="0" fontId="31" fillId="4" borderId="0" applyNumberFormat="0" applyBorder="0" applyAlignment="0" applyProtection="0"/>
    <xf numFmtId="0" fontId="13" fillId="11" borderId="0" applyNumberFormat="0" applyBorder="0" applyAlignment="0" applyProtection="0"/>
    <xf numFmtId="0" fontId="51" fillId="17" borderId="0" applyNumberFormat="0" applyBorder="0" applyAlignment="0" applyProtection="0"/>
    <xf numFmtId="0" fontId="13" fillId="21" borderId="0" applyNumberFormat="0" applyBorder="0" applyAlignment="0" applyProtection="0"/>
    <xf numFmtId="0" fontId="0" fillId="0" borderId="0">
      <alignment/>
      <protection locked="0"/>
    </xf>
    <xf numFmtId="0" fontId="13" fillId="11" borderId="0" applyNumberFormat="0" applyBorder="0" applyAlignment="0" applyProtection="0"/>
    <xf numFmtId="0" fontId="27" fillId="12" borderId="0" applyNumberFormat="0" applyBorder="0" applyAlignment="0" applyProtection="0"/>
    <xf numFmtId="0" fontId="24" fillId="0" borderId="0">
      <alignment/>
      <protection/>
    </xf>
    <xf numFmtId="0" fontId="26" fillId="0" borderId="0">
      <alignment vertical="center"/>
      <protection/>
    </xf>
    <xf numFmtId="0" fontId="0" fillId="0" borderId="0">
      <alignment/>
      <protection/>
    </xf>
    <xf numFmtId="0" fontId="24" fillId="0" borderId="0">
      <alignment/>
      <protection/>
    </xf>
    <xf numFmtId="0" fontId="26" fillId="0" borderId="0">
      <alignment/>
      <protection/>
    </xf>
    <xf numFmtId="0" fontId="31" fillId="22" borderId="0" applyNumberFormat="0" applyBorder="0" applyAlignment="0" applyProtection="0"/>
    <xf numFmtId="0" fontId="36" fillId="0" borderId="0" applyProtection="0">
      <alignment vertical="center"/>
    </xf>
    <xf numFmtId="0" fontId="31" fillId="5" borderId="0" applyNumberFormat="0" applyBorder="0" applyAlignment="0" applyProtection="0"/>
    <xf numFmtId="0" fontId="26" fillId="0" borderId="0">
      <alignment/>
      <protection/>
    </xf>
    <xf numFmtId="0" fontId="32" fillId="0" borderId="0" applyNumberFormat="0" applyFill="0" applyBorder="0" applyAlignment="0" applyProtection="0"/>
    <xf numFmtId="0" fontId="31" fillId="5" borderId="0" applyNumberFormat="0" applyBorder="0" applyAlignment="0" applyProtection="0"/>
    <xf numFmtId="0" fontId="30" fillId="17" borderId="0" applyNumberFormat="0" applyBorder="0" applyAlignment="0" applyProtection="0"/>
    <xf numFmtId="0" fontId="24" fillId="0" borderId="0">
      <alignment vertical="center"/>
      <protection/>
    </xf>
    <xf numFmtId="0" fontId="26" fillId="0" borderId="0">
      <alignment vertical="center"/>
      <protection/>
    </xf>
    <xf numFmtId="0" fontId="24" fillId="0" borderId="0">
      <alignment/>
      <protection/>
    </xf>
    <xf numFmtId="0" fontId="0" fillId="0" borderId="0">
      <alignment vertical="center"/>
      <protection locked="0"/>
    </xf>
    <xf numFmtId="0" fontId="13" fillId="3" borderId="0" applyNumberFormat="0" applyBorder="0" applyAlignment="0" applyProtection="0"/>
    <xf numFmtId="0" fontId="24" fillId="0" borderId="0">
      <alignment vertical="center"/>
      <protection/>
    </xf>
    <xf numFmtId="0" fontId="26" fillId="0" borderId="0">
      <alignment/>
      <protection/>
    </xf>
    <xf numFmtId="0" fontId="13" fillId="20" borderId="0" applyNumberFormat="0" applyBorder="0" applyAlignment="0" applyProtection="0"/>
    <xf numFmtId="176" fontId="24" fillId="0" borderId="0">
      <alignment vertical="center"/>
      <protection/>
    </xf>
    <xf numFmtId="0" fontId="26" fillId="0" borderId="0">
      <alignment vertical="center"/>
      <protection/>
    </xf>
    <xf numFmtId="0" fontId="31" fillId="5" borderId="0" applyNumberFormat="0" applyBorder="0" applyAlignment="0" applyProtection="0"/>
    <xf numFmtId="0" fontId="38" fillId="20" borderId="0" applyNumberFormat="0" applyBorder="0" applyAlignment="0" applyProtection="0"/>
    <xf numFmtId="0" fontId="0" fillId="0" borderId="0">
      <alignment vertical="center"/>
      <protection/>
    </xf>
    <xf numFmtId="0" fontId="24" fillId="0" borderId="0">
      <alignment/>
      <protection/>
    </xf>
    <xf numFmtId="0" fontId="26" fillId="0" borderId="0">
      <alignment/>
      <protection/>
    </xf>
    <xf numFmtId="0" fontId="24" fillId="0" borderId="0">
      <alignment/>
      <protection/>
    </xf>
    <xf numFmtId="0" fontId="24" fillId="0" borderId="0">
      <alignment vertical="center"/>
      <protection/>
    </xf>
    <xf numFmtId="0" fontId="13" fillId="11" borderId="0" applyNumberFormat="0" applyBorder="0" applyAlignment="0" applyProtection="0"/>
    <xf numFmtId="0" fontId="27" fillId="6" borderId="0" applyNumberFormat="0" applyBorder="0" applyAlignment="0" applyProtection="0"/>
    <xf numFmtId="0" fontId="26" fillId="0" borderId="0">
      <alignment/>
      <protection/>
    </xf>
    <xf numFmtId="0" fontId="26" fillId="0" borderId="0">
      <alignment vertical="center"/>
      <protection/>
    </xf>
    <xf numFmtId="49" fontId="0" fillId="0" borderId="0" applyFont="0" applyFill="0" applyBorder="0" applyAlignment="0" applyProtection="0"/>
    <xf numFmtId="0" fontId="26" fillId="0" borderId="0">
      <alignment/>
      <protection/>
    </xf>
    <xf numFmtId="49" fontId="0" fillId="0" borderId="0" applyFont="0" applyFill="0" applyBorder="0" applyAlignment="0" applyProtection="0"/>
    <xf numFmtId="0" fontId="26" fillId="0" borderId="0">
      <alignment vertical="center"/>
      <protection/>
    </xf>
    <xf numFmtId="178" fontId="1" fillId="0" borderId="10">
      <alignment vertical="center"/>
      <protection locked="0"/>
    </xf>
    <xf numFmtId="0" fontId="26" fillId="0" borderId="0">
      <alignment vertical="center"/>
      <protection/>
    </xf>
    <xf numFmtId="43" fontId="14" fillId="0" borderId="0" applyFont="0" applyFill="0" applyBorder="0" applyAlignment="0" applyProtection="0"/>
    <xf numFmtId="0" fontId="38" fillId="20" borderId="0" applyNumberFormat="0" applyBorder="0" applyAlignment="0" applyProtection="0"/>
    <xf numFmtId="0" fontId="26" fillId="0" borderId="0">
      <alignment vertical="center"/>
      <protection/>
    </xf>
    <xf numFmtId="0" fontId="10" fillId="0" borderId="0">
      <alignment/>
      <protection/>
    </xf>
    <xf numFmtId="0" fontId="31" fillId="18" borderId="0" applyNumberFormat="0" applyBorder="0" applyAlignment="0" applyProtection="0"/>
    <xf numFmtId="0" fontId="10" fillId="0" borderId="0">
      <alignment vertical="center"/>
      <protection/>
    </xf>
    <xf numFmtId="0" fontId="31" fillId="18" borderId="0" applyNumberFormat="0" applyBorder="0" applyAlignment="0" applyProtection="0"/>
    <xf numFmtId="0" fontId="24" fillId="0" borderId="0">
      <alignment vertical="center"/>
      <protection/>
    </xf>
    <xf numFmtId="0" fontId="10" fillId="0" borderId="0">
      <alignment/>
      <protection/>
    </xf>
    <xf numFmtId="0" fontId="39" fillId="20" borderId="0" applyNumberFormat="0" applyBorder="0" applyAlignment="0" applyProtection="0"/>
    <xf numFmtId="0" fontId="24" fillId="0" borderId="0">
      <alignment/>
      <protection/>
    </xf>
    <xf numFmtId="0" fontId="10" fillId="0" borderId="0">
      <alignment vertical="center"/>
      <protection/>
    </xf>
    <xf numFmtId="0" fontId="31" fillId="14" borderId="0" applyNumberFormat="0" applyBorder="0" applyAlignment="0" applyProtection="0"/>
    <xf numFmtId="0" fontId="63" fillId="0" borderId="0" applyNumberFormat="0" applyFill="0" applyBorder="0" applyAlignment="0" applyProtection="0"/>
    <xf numFmtId="0" fontId="56" fillId="0" borderId="9" applyNumberFormat="0" applyFill="0" applyAlignment="0" applyProtection="0"/>
    <xf numFmtId="0" fontId="24" fillId="0" borderId="0">
      <alignment vertical="center"/>
      <protection/>
    </xf>
    <xf numFmtId="0" fontId="30" fillId="8" borderId="0" applyNumberFormat="0" applyBorder="0" applyAlignment="0" applyProtection="0"/>
    <xf numFmtId="0" fontId="26" fillId="0" borderId="0">
      <alignment/>
      <protection/>
    </xf>
    <xf numFmtId="0" fontId="24" fillId="0" borderId="0">
      <alignment/>
      <protection/>
    </xf>
    <xf numFmtId="0" fontId="26" fillId="0" borderId="0">
      <alignment vertical="center"/>
      <protection/>
    </xf>
    <xf numFmtId="0" fontId="21" fillId="2" borderId="0" applyNumberFormat="0" applyBorder="0" applyAlignment="0" applyProtection="0"/>
    <xf numFmtId="0" fontId="27" fillId="6" borderId="0" applyNumberFormat="0" applyBorder="0" applyAlignment="0" applyProtection="0"/>
    <xf numFmtId="0" fontId="30" fillId="8" borderId="0" applyNumberFormat="0" applyBorder="0" applyAlignment="0" applyProtection="0"/>
    <xf numFmtId="0" fontId="24" fillId="0" borderId="0">
      <alignment vertical="center"/>
      <protection/>
    </xf>
    <xf numFmtId="0" fontId="26" fillId="0" borderId="0">
      <alignment/>
      <protection/>
    </xf>
    <xf numFmtId="0" fontId="21" fillId="2" borderId="0" applyNumberFormat="0" applyBorder="0" applyAlignment="0" applyProtection="0"/>
    <xf numFmtId="0" fontId="34" fillId="0" borderId="0">
      <alignment vertical="top"/>
      <protection/>
    </xf>
    <xf numFmtId="0" fontId="39" fillId="7" borderId="0" applyNumberFormat="0" applyBorder="0" applyAlignment="0" applyProtection="0"/>
    <xf numFmtId="0" fontId="65" fillId="6" borderId="1" applyNumberFormat="0" applyAlignment="0" applyProtection="0"/>
    <xf numFmtId="0" fontId="26" fillId="0" borderId="0">
      <alignment vertical="center"/>
      <protection/>
    </xf>
    <xf numFmtId="0" fontId="0" fillId="0" borderId="0">
      <alignment vertical="center"/>
      <protection/>
    </xf>
    <xf numFmtId="0" fontId="30" fillId="8" borderId="0" applyNumberFormat="0" applyBorder="0" applyAlignment="0" applyProtection="0"/>
    <xf numFmtId="0" fontId="13" fillId="6" borderId="0" applyNumberFormat="0" applyBorder="0" applyAlignment="0" applyProtection="0"/>
    <xf numFmtId="0" fontId="54" fillId="10" borderId="0" applyNumberFormat="0" applyBorder="0" applyAlignment="0" applyProtection="0"/>
    <xf numFmtId="0" fontId="31" fillId="4" borderId="0" applyNumberFormat="0" applyBorder="0" applyAlignment="0" applyProtection="0"/>
    <xf numFmtId="0" fontId="0" fillId="0" borderId="0" applyNumberFormat="0" applyFont="0" applyFill="0" applyBorder="0" applyAlignment="0" applyProtection="0"/>
    <xf numFmtId="0" fontId="26" fillId="0" borderId="0">
      <alignment/>
      <protection/>
    </xf>
    <xf numFmtId="0" fontId="54" fillId="10" borderId="0" applyNumberFormat="0" applyBorder="0" applyAlignment="0" applyProtection="0"/>
    <xf numFmtId="0" fontId="31" fillId="4" borderId="0" applyNumberFormat="0" applyBorder="0" applyAlignment="0" applyProtection="0"/>
    <xf numFmtId="0" fontId="26" fillId="0" borderId="0">
      <alignment vertical="center"/>
      <protection/>
    </xf>
    <xf numFmtId="0" fontId="54" fillId="4" borderId="0" applyNumberFormat="0" applyBorder="0" applyAlignment="0" applyProtection="0"/>
    <xf numFmtId="0" fontId="26" fillId="0" borderId="0">
      <alignment/>
      <protection/>
    </xf>
    <xf numFmtId="0" fontId="26" fillId="0" borderId="0">
      <alignment vertical="center"/>
      <protection/>
    </xf>
    <xf numFmtId="0" fontId="31" fillId="10" borderId="0" applyNumberFormat="0" applyBorder="0" applyAlignment="0" applyProtection="0"/>
    <xf numFmtId="0" fontId="30" fillId="17" borderId="0" applyNumberFormat="0" applyBorder="0" applyAlignment="0" applyProtection="0"/>
    <xf numFmtId="0" fontId="26" fillId="0" borderId="0">
      <alignment/>
      <protection/>
    </xf>
    <xf numFmtId="0" fontId="31" fillId="10" borderId="0" applyNumberFormat="0" applyBorder="0" applyAlignment="0" applyProtection="0"/>
    <xf numFmtId="0" fontId="67" fillId="0" borderId="0">
      <alignment vertical="center"/>
      <protection/>
    </xf>
    <xf numFmtId="0" fontId="13" fillId="2" borderId="0" applyNumberFormat="0" applyBorder="0" applyAlignment="0" applyProtection="0"/>
    <xf numFmtId="0" fontId="30" fillId="17" borderId="0" applyNumberFormat="0" applyBorder="0" applyAlignment="0" applyProtection="0"/>
    <xf numFmtId="0" fontId="26" fillId="0" borderId="0">
      <alignment vertical="center"/>
      <protection/>
    </xf>
    <xf numFmtId="0" fontId="27" fillId="12" borderId="0" applyNumberFormat="0" applyBorder="0" applyAlignment="0" applyProtection="0"/>
    <xf numFmtId="0" fontId="10" fillId="0" borderId="0">
      <alignment vertical="center"/>
      <protection/>
    </xf>
    <xf numFmtId="0" fontId="26" fillId="0" borderId="0">
      <alignment/>
      <protection/>
    </xf>
    <xf numFmtId="0" fontId="10" fillId="0" borderId="0">
      <alignment/>
      <protection/>
    </xf>
    <xf numFmtId="0" fontId="26" fillId="0" borderId="0">
      <alignment vertical="center"/>
      <protection/>
    </xf>
    <xf numFmtId="0" fontId="13" fillId="21" borderId="0" applyNumberFormat="0" applyBorder="0" applyAlignment="0" applyProtection="0"/>
    <xf numFmtId="0" fontId="26" fillId="0" borderId="0">
      <alignment/>
      <protection/>
    </xf>
    <xf numFmtId="0" fontId="13" fillId="21" borderId="0" applyNumberFormat="0" applyBorder="0" applyAlignment="0" applyProtection="0"/>
    <xf numFmtId="0" fontId="26" fillId="0" borderId="0">
      <alignment vertical="center"/>
      <protection/>
    </xf>
    <xf numFmtId="0" fontId="13" fillId="21" borderId="0" applyNumberFormat="0" applyBorder="0" applyAlignment="0" applyProtection="0"/>
    <xf numFmtId="0" fontId="30" fillId="8" borderId="0" applyNumberFormat="0" applyBorder="0" applyAlignment="0" applyProtection="0"/>
    <xf numFmtId="0" fontId="31" fillId="15" borderId="0" applyNumberFormat="0" applyBorder="0" applyAlignment="0" applyProtection="0"/>
    <xf numFmtId="43" fontId="0" fillId="0" borderId="0" applyFont="0" applyFill="0" applyBorder="0" applyAlignment="0" applyProtection="0"/>
    <xf numFmtId="0" fontId="26" fillId="0" borderId="0">
      <alignment/>
      <protection/>
    </xf>
    <xf numFmtId="0" fontId="13" fillId="21" borderId="0" applyNumberFormat="0" applyBorder="0" applyAlignment="0" applyProtection="0"/>
    <xf numFmtId="0" fontId="26" fillId="0" borderId="0">
      <alignment vertical="center"/>
      <protection/>
    </xf>
    <xf numFmtId="0" fontId="27" fillId="9" borderId="0" applyNumberFormat="0" applyBorder="0" applyAlignment="0" applyProtection="0"/>
    <xf numFmtId="0" fontId="24" fillId="0" borderId="0">
      <alignment/>
      <protection/>
    </xf>
    <xf numFmtId="0" fontId="24" fillId="0" borderId="0">
      <alignment/>
      <protection/>
    </xf>
    <xf numFmtId="0" fontId="21" fillId="2" borderId="0" applyNumberFormat="0" applyBorder="0" applyAlignment="0" applyProtection="0"/>
    <xf numFmtId="0" fontId="24" fillId="0" borderId="0">
      <alignment vertical="center"/>
      <protection/>
    </xf>
    <xf numFmtId="0" fontId="24" fillId="0" borderId="0">
      <alignment/>
      <protection/>
    </xf>
    <xf numFmtId="0" fontId="24" fillId="0" borderId="0">
      <alignment vertical="center"/>
      <protection/>
    </xf>
    <xf numFmtId="0" fontId="63" fillId="0" borderId="0" applyNumberFormat="0" applyFill="0" applyBorder="0" applyAlignment="0" applyProtection="0"/>
    <xf numFmtId="0" fontId="24" fillId="0" borderId="0">
      <alignment/>
      <protection/>
    </xf>
    <xf numFmtId="0" fontId="13" fillId="3" borderId="0" applyNumberFormat="0" applyBorder="0" applyAlignment="0" applyProtection="0"/>
    <xf numFmtId="0" fontId="26" fillId="0" borderId="0">
      <alignment/>
      <protection/>
    </xf>
    <xf numFmtId="0" fontId="52" fillId="0" borderId="0">
      <alignment/>
      <protection/>
    </xf>
    <xf numFmtId="0" fontId="26" fillId="0" borderId="0">
      <alignment vertical="center"/>
      <protection/>
    </xf>
    <xf numFmtId="0" fontId="26" fillId="0" borderId="0">
      <alignment/>
      <protection/>
    </xf>
    <xf numFmtId="0" fontId="13" fillId="2" borderId="0" applyNumberFormat="0" applyBorder="0" applyAlignment="0" applyProtection="0"/>
    <xf numFmtId="0" fontId="5" fillId="20"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0" fillId="25" borderId="0" applyNumberFormat="0" applyFont="0" applyBorder="0" applyAlignment="0" applyProtection="0"/>
    <xf numFmtId="0" fontId="27" fillId="6" borderId="0" applyNumberFormat="0" applyBorder="0" applyAlignment="0" applyProtection="0"/>
    <xf numFmtId="0" fontId="26" fillId="0" borderId="0">
      <alignment/>
      <protection/>
    </xf>
    <xf numFmtId="0" fontId="13" fillId="6" borderId="0" applyNumberFormat="0" applyBorder="0" applyAlignment="0" applyProtection="0"/>
    <xf numFmtId="0" fontId="26" fillId="0" borderId="0">
      <alignment vertical="center"/>
      <protection/>
    </xf>
    <xf numFmtId="0" fontId="0" fillId="0" borderId="0">
      <alignment vertical="center"/>
      <protection/>
    </xf>
    <xf numFmtId="0" fontId="24" fillId="0" borderId="0">
      <alignment/>
      <protection/>
    </xf>
    <xf numFmtId="0" fontId="24" fillId="0" borderId="0">
      <alignment vertical="center"/>
      <protection/>
    </xf>
    <xf numFmtId="0" fontId="34" fillId="0" borderId="0">
      <alignment vertical="top"/>
      <protection/>
    </xf>
    <xf numFmtId="0" fontId="5" fillId="2" borderId="0" applyNumberFormat="0" applyBorder="0" applyAlignment="0" applyProtection="0"/>
    <xf numFmtId="0" fontId="14" fillId="12" borderId="0" applyNumberFormat="0" applyBorder="0" applyAlignment="0" applyProtection="0"/>
    <xf numFmtId="0" fontId="34" fillId="0" borderId="0">
      <alignment vertical="top"/>
      <protection/>
    </xf>
    <xf numFmtId="0" fontId="8" fillId="0" borderId="0">
      <alignment/>
      <protection/>
    </xf>
    <xf numFmtId="0" fontId="13" fillId="11" borderId="0" applyNumberFormat="0" applyBorder="0" applyAlignment="0" applyProtection="0"/>
    <xf numFmtId="0" fontId="52" fillId="0" borderId="0">
      <alignment/>
      <protection/>
    </xf>
    <xf numFmtId="0" fontId="13" fillId="11" borderId="0" applyNumberFormat="0" applyBorder="0" applyAlignment="0" applyProtection="0"/>
    <xf numFmtId="0" fontId="52" fillId="0" borderId="0">
      <alignment vertical="center"/>
      <protection/>
    </xf>
    <xf numFmtId="0" fontId="35" fillId="8" borderId="0" applyNumberFormat="0" applyBorder="0" applyAlignment="0" applyProtection="0"/>
    <xf numFmtId="0" fontId="13" fillId="11" borderId="0" applyNumberFormat="0" applyBorder="0" applyAlignment="0" applyProtection="0"/>
    <xf numFmtId="0" fontId="52" fillId="0" borderId="0">
      <alignment/>
      <protection/>
    </xf>
    <xf numFmtId="0" fontId="13" fillId="11" borderId="0" applyNumberFormat="0" applyBorder="0" applyAlignment="0" applyProtection="0"/>
    <xf numFmtId="0" fontId="5" fillId="2" borderId="0" applyNumberFormat="0" applyBorder="0" applyAlignment="0" applyProtection="0"/>
    <xf numFmtId="0" fontId="52" fillId="0" borderId="0">
      <alignment vertical="center"/>
      <protection/>
    </xf>
    <xf numFmtId="0" fontId="21" fillId="2" borderId="0" applyNumberFormat="0" applyBorder="0" applyAlignment="0" applyProtection="0"/>
    <xf numFmtId="0" fontId="32" fillId="0" borderId="0" applyNumberFormat="0" applyFill="0" applyBorder="0" applyAlignment="0" applyProtection="0"/>
    <xf numFmtId="0" fontId="31" fillId="5" borderId="0" applyNumberFormat="0" applyBorder="0" applyAlignment="0" applyProtection="0"/>
    <xf numFmtId="49" fontId="0" fillId="0" borderId="0" applyFont="0" applyFill="0" applyBorder="0" applyAlignment="0" applyProtection="0"/>
    <xf numFmtId="49" fontId="0" fillId="0" borderId="0" applyFont="0" applyFill="0" applyBorder="0" applyAlignment="0" applyProtection="0"/>
    <xf numFmtId="0" fontId="34" fillId="0" borderId="0">
      <alignment vertical="top"/>
      <protection/>
    </xf>
    <xf numFmtId="0" fontId="10" fillId="0" borderId="0">
      <alignment/>
      <protection/>
    </xf>
    <xf numFmtId="0" fontId="5" fillId="2" borderId="0" applyNumberFormat="0" applyBorder="0" applyAlignment="0" applyProtection="0"/>
    <xf numFmtId="0" fontId="10" fillId="0" borderId="0">
      <alignment/>
      <protection/>
    </xf>
    <xf numFmtId="0" fontId="24" fillId="0" borderId="0">
      <alignment/>
      <protection/>
    </xf>
    <xf numFmtId="0" fontId="10" fillId="0" borderId="0">
      <alignment vertical="center"/>
      <protection/>
    </xf>
    <xf numFmtId="0" fontId="21" fillId="2" borderId="0" applyNumberFormat="0" applyBorder="0" applyAlignment="0" applyProtection="0"/>
    <xf numFmtId="0" fontId="10" fillId="0" borderId="0">
      <alignment vertical="center"/>
      <protection/>
    </xf>
    <xf numFmtId="0" fontId="10" fillId="0" borderId="0">
      <alignment/>
      <protection/>
    </xf>
    <xf numFmtId="0" fontId="46" fillId="26" borderId="0" applyNumberFormat="0" applyBorder="0" applyAlignment="0" applyProtection="0"/>
    <xf numFmtId="0" fontId="26" fillId="0" borderId="0">
      <alignment/>
      <protection/>
    </xf>
    <xf numFmtId="0" fontId="46" fillId="26" borderId="0" applyNumberFormat="0" applyBorder="0" applyAlignment="0" applyProtection="0"/>
    <xf numFmtId="43" fontId="14" fillId="0" borderId="0" applyFont="0" applyFill="0" applyBorder="0" applyAlignment="0" applyProtection="0"/>
    <xf numFmtId="0" fontId="26" fillId="0" borderId="0">
      <alignment vertical="center"/>
      <protection/>
    </xf>
    <xf numFmtId="43" fontId="0" fillId="0" borderId="0" applyFont="0" applyFill="0" applyBorder="0" applyAlignment="0" applyProtection="0"/>
    <xf numFmtId="0" fontId="26" fillId="0" borderId="0">
      <alignment/>
      <protection/>
    </xf>
    <xf numFmtId="0" fontId="27" fillId="12" borderId="0" applyNumberFormat="0" applyBorder="0" applyAlignment="0" applyProtection="0"/>
    <xf numFmtId="0" fontId="10" fillId="0" borderId="0">
      <alignment/>
      <protection/>
    </xf>
    <xf numFmtId="0" fontId="10"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0" fillId="0" borderId="0">
      <alignment/>
      <protection/>
    </xf>
    <xf numFmtId="0" fontId="13" fillId="6" borderId="0" applyNumberFormat="0" applyBorder="0" applyAlignment="0" applyProtection="0"/>
    <xf numFmtId="0" fontId="10" fillId="0" borderId="0">
      <alignment vertical="center"/>
      <protection/>
    </xf>
    <xf numFmtId="0" fontId="54" fillId="24" borderId="0" applyNumberFormat="0" applyBorder="0" applyAlignment="0" applyProtection="0"/>
    <xf numFmtId="0" fontId="10" fillId="0" borderId="0">
      <alignment/>
      <protection/>
    </xf>
    <xf numFmtId="0" fontId="10" fillId="0" borderId="0">
      <alignment vertical="center"/>
      <protection/>
    </xf>
    <xf numFmtId="0" fontId="10" fillId="0" borderId="0">
      <alignment/>
      <protection/>
    </xf>
    <xf numFmtId="0" fontId="24"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3" fillId="20" borderId="0" applyNumberFormat="0" applyBorder="0" applyAlignment="0" applyProtection="0"/>
    <xf numFmtId="0" fontId="13" fillId="21" borderId="0" applyNumberFormat="0" applyBorder="0" applyAlignment="0" applyProtection="0"/>
    <xf numFmtId="0" fontId="24" fillId="0" borderId="0">
      <alignment/>
      <protection/>
    </xf>
    <xf numFmtId="0" fontId="30" fillId="8" borderId="0" applyNumberFormat="0" applyBorder="0" applyAlignment="0" applyProtection="0"/>
    <xf numFmtId="0" fontId="13" fillId="20" borderId="0" applyNumberFormat="0" applyBorder="0" applyAlignment="0" applyProtection="0"/>
    <xf numFmtId="0" fontId="0" fillId="11" borderId="2" applyNumberFormat="0" applyFont="0" applyAlignment="0" applyProtection="0"/>
    <xf numFmtId="0" fontId="24" fillId="0" borderId="0">
      <alignment vertical="center"/>
      <protection/>
    </xf>
    <xf numFmtId="0" fontId="13" fillId="20" borderId="0" applyNumberFormat="0" applyBorder="0" applyAlignment="0" applyProtection="0"/>
    <xf numFmtId="176" fontId="24" fillId="0" borderId="0">
      <alignment/>
      <protection/>
    </xf>
    <xf numFmtId="0" fontId="24" fillId="0" borderId="0">
      <alignment/>
      <protection/>
    </xf>
    <xf numFmtId="0" fontId="13" fillId="20" borderId="0" applyNumberFormat="0" applyBorder="0" applyAlignment="0" applyProtection="0"/>
    <xf numFmtId="0" fontId="21" fillId="2" borderId="0" applyNumberFormat="0" applyBorder="0" applyAlignment="0" applyProtection="0"/>
    <xf numFmtId="0" fontId="27" fillId="6" borderId="0" applyNumberFormat="0" applyBorder="0" applyAlignment="0" applyProtection="0"/>
    <xf numFmtId="0" fontId="24" fillId="0" borderId="0">
      <alignment vertical="center"/>
      <protection/>
    </xf>
    <xf numFmtId="0" fontId="34" fillId="0" borderId="0">
      <alignment vertical="top"/>
      <protection/>
    </xf>
    <xf numFmtId="0" fontId="39" fillId="7" borderId="0" applyNumberFormat="0" applyBorder="0" applyAlignment="0" applyProtection="0"/>
    <xf numFmtId="0" fontId="0" fillId="0" borderId="0">
      <alignment vertical="center"/>
      <protection/>
    </xf>
    <xf numFmtId="0" fontId="14" fillId="0" borderId="0">
      <alignment vertical="center"/>
      <protection/>
    </xf>
    <xf numFmtId="0" fontId="52" fillId="0" borderId="0">
      <alignment vertical="center"/>
      <protection/>
    </xf>
    <xf numFmtId="0" fontId="96" fillId="0" borderId="0">
      <alignment vertical="center"/>
      <protection/>
    </xf>
    <xf numFmtId="0" fontId="96" fillId="0" borderId="0">
      <alignment vertical="center"/>
      <protection/>
    </xf>
    <xf numFmtId="0" fontId="52" fillId="0" borderId="0">
      <alignment vertical="center"/>
      <protection/>
    </xf>
    <xf numFmtId="0" fontId="44" fillId="0" borderId="0" applyProtection="0">
      <alignment/>
    </xf>
    <xf numFmtId="0" fontId="26" fillId="0" borderId="0">
      <alignment/>
      <protection/>
    </xf>
    <xf numFmtId="0" fontId="26" fillId="0" borderId="0">
      <alignment vertical="center"/>
      <protection/>
    </xf>
    <xf numFmtId="0" fontId="26" fillId="0" borderId="0">
      <alignment/>
      <protection/>
    </xf>
    <xf numFmtId="0" fontId="21" fillId="2" borderId="0" applyNumberFormat="0" applyBorder="0" applyAlignment="0" applyProtection="0"/>
    <xf numFmtId="0" fontId="30" fillId="8" borderId="0" applyNumberFormat="0" applyBorder="0" applyAlignment="0" applyProtection="0"/>
    <xf numFmtId="0" fontId="31" fillId="14" borderId="0" applyNumberFormat="0" applyBorder="0" applyAlignment="0" applyProtection="0"/>
    <xf numFmtId="0" fontId="26" fillId="0" borderId="0">
      <alignment/>
      <protection/>
    </xf>
    <xf numFmtId="0" fontId="30" fillId="8"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6" fillId="0" borderId="0">
      <alignment vertical="center"/>
      <protection/>
    </xf>
    <xf numFmtId="0" fontId="21" fillId="2" borderId="0" applyNumberFormat="0" applyBorder="0" applyAlignment="0" applyProtection="0"/>
    <xf numFmtId="0" fontId="31" fillId="18" borderId="0" applyNumberFormat="0" applyBorder="0" applyAlignment="0" applyProtection="0"/>
    <xf numFmtId="0" fontId="26" fillId="0" borderId="0">
      <alignment/>
      <protection/>
    </xf>
    <xf numFmtId="0" fontId="57" fillId="17" borderId="0" applyNumberFormat="0" applyBorder="0" applyAlignment="0" applyProtection="0"/>
    <xf numFmtId="0" fontId="13" fillId="21" borderId="0" applyNumberFormat="0" applyBorder="0" applyAlignment="0" applyProtection="0"/>
    <xf numFmtId="0" fontId="26" fillId="0" borderId="0">
      <alignment vertical="center"/>
      <protection/>
    </xf>
    <xf numFmtId="0" fontId="26" fillId="0" borderId="0">
      <alignment/>
      <protection/>
    </xf>
    <xf numFmtId="0" fontId="27" fillId="3" borderId="0" applyNumberFormat="0" applyBorder="0" applyAlignment="0" applyProtection="0"/>
    <xf numFmtId="0" fontId="42" fillId="0" borderId="0">
      <alignment horizontal="center" vertical="center" wrapText="1"/>
      <protection locked="0"/>
    </xf>
    <xf numFmtId="0" fontId="14" fillId="17" borderId="0" applyNumberFormat="0" applyBorder="0" applyAlignment="0" applyProtection="0"/>
    <xf numFmtId="0" fontId="26" fillId="0" borderId="0">
      <alignment vertical="center"/>
      <protection/>
    </xf>
    <xf numFmtId="0" fontId="26" fillId="0" borderId="0">
      <alignment/>
      <protection/>
    </xf>
    <xf numFmtId="0" fontId="21" fillId="2" borderId="0" applyNumberFormat="0" applyBorder="0" applyAlignment="0" applyProtection="0"/>
    <xf numFmtId="0" fontId="26" fillId="0" borderId="0">
      <alignment vertical="center"/>
      <protection/>
    </xf>
    <xf numFmtId="0" fontId="10" fillId="0" borderId="0">
      <alignment vertical="center"/>
      <protection/>
    </xf>
    <xf numFmtId="0" fontId="55" fillId="20" borderId="0" applyNumberFormat="0" applyBorder="0" applyAlignment="0" applyProtection="0"/>
    <xf numFmtId="0" fontId="59" fillId="2" borderId="0" applyNumberFormat="0" applyBorder="0" applyAlignment="0" applyProtection="0"/>
    <xf numFmtId="0" fontId="39" fillId="12" borderId="0" applyNumberFormat="0" applyBorder="0" applyAlignment="0" applyProtection="0"/>
    <xf numFmtId="0" fontId="30" fillId="8" borderId="0" applyNumberFormat="0" applyBorder="0" applyAlignment="0" applyProtection="0"/>
    <xf numFmtId="0" fontId="34" fillId="0" borderId="0">
      <alignment vertical="top"/>
      <protection/>
    </xf>
    <xf numFmtId="0" fontId="30" fillId="8" borderId="0" applyNumberFormat="0" applyBorder="0" applyAlignment="0" applyProtection="0"/>
    <xf numFmtId="0" fontId="29" fillId="9" borderId="7" applyNumberFormat="0" applyAlignment="0" applyProtection="0"/>
    <xf numFmtId="0" fontId="34" fillId="0" borderId="0">
      <alignment vertical="top"/>
      <protection/>
    </xf>
    <xf numFmtId="0" fontId="39" fillId="17" borderId="0" applyNumberFormat="0" applyBorder="0" applyAlignment="0" applyProtection="0"/>
    <xf numFmtId="0" fontId="34" fillId="0" borderId="0">
      <alignment vertical="top"/>
      <protection/>
    </xf>
    <xf numFmtId="0" fontId="5" fillId="20" borderId="0" applyNumberFormat="0" applyBorder="0" applyAlignment="0" applyProtection="0"/>
    <xf numFmtId="0" fontId="13" fillId="11" borderId="0" applyNumberFormat="0" applyBorder="0" applyAlignment="0" applyProtection="0"/>
    <xf numFmtId="0" fontId="34" fillId="0" borderId="0">
      <alignment vertical="top"/>
      <protection/>
    </xf>
    <xf numFmtId="0" fontId="13" fillId="11" borderId="0" applyNumberFormat="0" applyBorder="0" applyAlignment="0" applyProtection="0"/>
    <xf numFmtId="0" fontId="34" fillId="0" borderId="0">
      <alignment vertical="top"/>
      <protection/>
    </xf>
    <xf numFmtId="0" fontId="34" fillId="0" borderId="0">
      <alignment vertical="top"/>
      <protection/>
    </xf>
    <xf numFmtId="0" fontId="34" fillId="0" borderId="0">
      <alignment vertical="top"/>
      <protection/>
    </xf>
    <xf numFmtId="0" fontId="31" fillId="10" borderId="0" applyNumberFormat="0" applyBorder="0" applyAlignment="0" applyProtection="0"/>
    <xf numFmtId="0" fontId="54" fillId="18" borderId="0" applyNumberFormat="0" applyBorder="0" applyAlignment="0" applyProtection="0"/>
    <xf numFmtId="0" fontId="14" fillId="21" borderId="0" applyNumberFormat="0" applyBorder="0" applyAlignment="0" applyProtection="0"/>
    <xf numFmtId="0" fontId="13" fillId="21" borderId="0" applyNumberFormat="0" applyBorder="0" applyAlignment="0" applyProtection="0"/>
    <xf numFmtId="0" fontId="26" fillId="0" borderId="0">
      <alignment/>
      <protection/>
    </xf>
    <xf numFmtId="0" fontId="14" fillId="21" borderId="0" applyNumberFormat="0" applyBorder="0" applyAlignment="0" applyProtection="0"/>
    <xf numFmtId="0" fontId="13" fillId="21" borderId="0" applyNumberFormat="0" applyBorder="0" applyAlignment="0" applyProtection="0"/>
    <xf numFmtId="0" fontId="26" fillId="0" borderId="0">
      <alignment vertical="center"/>
      <protection/>
    </xf>
    <xf numFmtId="0" fontId="14" fillId="21" borderId="0" applyNumberFormat="0" applyBorder="0" applyAlignment="0" applyProtection="0"/>
    <xf numFmtId="0" fontId="13" fillId="21" borderId="0" applyNumberFormat="0" applyBorder="0" applyAlignment="0" applyProtection="0"/>
    <xf numFmtId="0" fontId="26" fillId="0" borderId="0">
      <alignment vertical="center"/>
      <protection locked="0"/>
    </xf>
    <xf numFmtId="0" fontId="26" fillId="0" borderId="0">
      <alignment/>
      <protection/>
    </xf>
    <xf numFmtId="0" fontId="13" fillId="21" borderId="0" applyNumberFormat="0" applyBorder="0" applyAlignment="0" applyProtection="0"/>
    <xf numFmtId="0" fontId="26" fillId="0" borderId="0">
      <alignment/>
      <protection locked="0"/>
    </xf>
    <xf numFmtId="0" fontId="26" fillId="0" borderId="0">
      <alignment vertical="center"/>
      <protection/>
    </xf>
    <xf numFmtId="0" fontId="69" fillId="0" borderId="0">
      <alignment vertical="center"/>
      <protection/>
    </xf>
    <xf numFmtId="0" fontId="24" fillId="0" borderId="0">
      <alignment/>
      <protection/>
    </xf>
    <xf numFmtId="0" fontId="24" fillId="0" borderId="0">
      <alignment vertical="center"/>
      <protection/>
    </xf>
    <xf numFmtId="0" fontId="24" fillId="0" borderId="0">
      <alignment/>
      <protection/>
    </xf>
    <xf numFmtId="0" fontId="24" fillId="0" borderId="0">
      <alignment vertical="center"/>
      <protection/>
    </xf>
    <xf numFmtId="0" fontId="24" fillId="0" borderId="0">
      <alignment vertical="center"/>
      <protection/>
    </xf>
    <xf numFmtId="0" fontId="31" fillId="5" borderId="0" applyNumberFormat="0" applyBorder="0" applyAlignment="0" applyProtection="0"/>
    <xf numFmtId="0" fontId="24" fillId="0" borderId="0">
      <alignment/>
      <protection/>
    </xf>
    <xf numFmtId="0" fontId="39" fillId="8" borderId="0" applyNumberFormat="0" applyBorder="0" applyAlignment="0" applyProtection="0"/>
    <xf numFmtId="0" fontId="24" fillId="0" borderId="0">
      <alignment vertical="center"/>
      <protection/>
    </xf>
    <xf numFmtId="0" fontId="31" fillId="7" borderId="0" applyNumberFormat="0" applyBorder="0" applyAlignment="0" applyProtection="0"/>
    <xf numFmtId="0" fontId="24" fillId="0" borderId="0">
      <alignment/>
      <protection/>
    </xf>
    <xf numFmtId="0" fontId="31" fillId="7" borderId="0" applyNumberFormat="0" applyBorder="0" applyAlignment="0" applyProtection="0"/>
    <xf numFmtId="0" fontId="24" fillId="0" borderId="0">
      <alignment vertical="center"/>
      <protection/>
    </xf>
    <xf numFmtId="0" fontId="61" fillId="27" borderId="11">
      <alignment vertical="center"/>
      <protection locked="0"/>
    </xf>
    <xf numFmtId="0" fontId="39" fillId="21" borderId="0" applyNumberFormat="0" applyBorder="0" applyAlignment="0" applyProtection="0"/>
    <xf numFmtId="0" fontId="24" fillId="0" borderId="0">
      <alignment/>
      <protection/>
    </xf>
    <xf numFmtId="0" fontId="24" fillId="0" borderId="0">
      <alignment vertical="center"/>
      <protection/>
    </xf>
    <xf numFmtId="0" fontId="39" fillId="13" borderId="0" applyNumberFormat="0" applyBorder="0" applyAlignment="0" applyProtection="0"/>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59" fillId="2" borderId="0" applyNumberFormat="0" applyBorder="0" applyAlignment="0" applyProtection="0"/>
    <xf numFmtId="0" fontId="21" fillId="2" borderId="0" applyNumberFormat="0" applyBorder="0" applyAlignment="0" applyProtection="0"/>
    <xf numFmtId="0" fontId="39" fillId="23" borderId="0" applyNumberFormat="0" applyBorder="0" applyAlignment="0" applyProtection="0"/>
    <xf numFmtId="0" fontId="28" fillId="0" borderId="5" applyNumberFormat="0" applyFill="0" applyAlignment="0" applyProtection="0"/>
    <xf numFmtId="0" fontId="26" fillId="0" borderId="0">
      <alignment vertical="center"/>
      <protection/>
    </xf>
    <xf numFmtId="0" fontId="26" fillId="0" borderId="0">
      <alignment/>
      <protection/>
    </xf>
    <xf numFmtId="0" fontId="54" fillId="10" borderId="0" applyNumberFormat="0" applyBorder="0" applyAlignment="0" applyProtection="0"/>
    <xf numFmtId="0" fontId="33" fillId="19" borderId="0" applyNumberFormat="0" applyBorder="0" applyAlignment="0" applyProtection="0"/>
    <xf numFmtId="0" fontId="26" fillId="0" borderId="0">
      <alignment vertical="center"/>
      <protection/>
    </xf>
    <xf numFmtId="0" fontId="24" fillId="0" borderId="0">
      <alignment/>
      <protection/>
    </xf>
    <xf numFmtId="0" fontId="13" fillId="11" borderId="0" applyNumberFormat="0" applyBorder="0" applyAlignment="0" applyProtection="0"/>
    <xf numFmtId="0" fontId="24" fillId="0" borderId="0">
      <alignment vertical="center"/>
      <protection/>
    </xf>
    <xf numFmtId="0" fontId="24" fillId="0" borderId="12" applyNumberFormat="0" applyFill="0" applyProtection="0">
      <alignment horizontal="left" vertical="center"/>
    </xf>
    <xf numFmtId="0" fontId="13" fillId="3" borderId="0" applyNumberFormat="0" applyBorder="0" applyAlignment="0" applyProtection="0"/>
    <xf numFmtId="0" fontId="13" fillId="6" borderId="0" applyNumberFormat="0" applyBorder="0" applyAlignment="0" applyProtection="0"/>
    <xf numFmtId="0" fontId="24" fillId="0" borderId="0">
      <alignment/>
      <protection/>
    </xf>
    <xf numFmtId="0" fontId="24" fillId="0" borderId="0">
      <alignment vertical="center"/>
      <protection/>
    </xf>
    <xf numFmtId="0" fontId="26" fillId="0" borderId="0">
      <alignment/>
      <protection/>
    </xf>
    <xf numFmtId="0" fontId="31" fillId="4" borderId="0" applyNumberFormat="0" applyBorder="0" applyAlignment="0" applyProtection="0"/>
    <xf numFmtId="178" fontId="1" fillId="0" borderId="10">
      <alignment vertical="center"/>
      <protection locked="0"/>
    </xf>
    <xf numFmtId="0" fontId="26" fillId="0" borderId="0">
      <alignment/>
      <protection/>
    </xf>
    <xf numFmtId="0" fontId="39" fillId="2" borderId="0" applyNumberFormat="0" applyBorder="0" applyAlignment="0" applyProtection="0"/>
    <xf numFmtId="0" fontId="38" fillId="20" borderId="0" applyNumberFormat="0" applyBorder="0" applyAlignment="0" applyProtection="0"/>
    <xf numFmtId="0" fontId="26" fillId="0" borderId="0">
      <alignment vertical="center"/>
      <protection/>
    </xf>
    <xf numFmtId="0" fontId="5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0" fillId="8"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54" fillId="15" borderId="0" applyNumberFormat="0" applyBorder="0" applyAlignment="0" applyProtection="0"/>
    <xf numFmtId="0" fontId="14" fillId="2" borderId="0" applyNumberFormat="0" applyBorder="0" applyAlignment="0" applyProtection="0"/>
    <xf numFmtId="0" fontId="27" fillId="3" borderId="0" applyNumberFormat="0" applyBorder="0" applyAlignment="0" applyProtection="0"/>
    <xf numFmtId="0" fontId="14" fillId="17" borderId="0" applyNumberFormat="0" applyBorder="0" applyAlignment="0" applyProtection="0"/>
    <xf numFmtId="0" fontId="54" fillId="13" borderId="0" applyNumberFormat="0" applyBorder="0" applyAlignment="0" applyProtection="0"/>
    <xf numFmtId="0" fontId="14" fillId="1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7" fillId="3" borderId="0" applyNumberFormat="0" applyBorder="0" applyAlignment="0" applyProtection="0"/>
    <xf numFmtId="0" fontId="14" fillId="20" borderId="0" applyNumberFormat="0" applyBorder="0" applyAlignment="0" applyProtection="0"/>
    <xf numFmtId="0" fontId="27" fillId="3" borderId="0" applyNumberFormat="0" applyBorder="0" applyAlignment="0" applyProtection="0"/>
    <xf numFmtId="0" fontId="31" fillId="5" borderId="0" applyNumberFormat="0" applyBorder="0" applyAlignment="0" applyProtection="0"/>
    <xf numFmtId="0" fontId="14" fillId="20" borderId="0" applyNumberFormat="0" applyBorder="0" applyAlignment="0" applyProtection="0"/>
    <xf numFmtId="0" fontId="54" fillId="7" borderId="0" applyNumberFormat="0" applyBorder="0" applyAlignment="0" applyProtection="0"/>
    <xf numFmtId="0" fontId="14" fillId="20" borderId="0" applyNumberFormat="0" applyBorder="0" applyAlignment="0" applyProtection="0"/>
    <xf numFmtId="0" fontId="14" fillId="3" borderId="0" applyNumberFormat="0" applyBorder="0" applyAlignment="0" applyProtection="0"/>
    <xf numFmtId="0" fontId="30" fillId="8" borderId="0" applyNumberFormat="0" applyBorder="0" applyAlignment="0" applyProtection="0"/>
    <xf numFmtId="0" fontId="14" fillId="3" borderId="0" applyNumberFormat="0" applyBorder="0" applyAlignment="0" applyProtection="0"/>
    <xf numFmtId="0" fontId="54" fillId="10" borderId="0" applyNumberFormat="0" applyBorder="0" applyAlignment="0" applyProtection="0"/>
    <xf numFmtId="0" fontId="14" fillId="3" borderId="0" applyNumberFormat="0" applyBorder="0" applyAlignment="0" applyProtection="0"/>
    <xf numFmtId="0" fontId="61" fillId="27" borderId="11">
      <alignment/>
      <protection locked="0"/>
    </xf>
    <xf numFmtId="0" fontId="39" fillId="21" borderId="0" applyNumberFormat="0" applyBorder="0" applyAlignment="0" applyProtection="0"/>
    <xf numFmtId="0" fontId="7" fillId="8" borderId="0" applyNumberFormat="0" applyBorder="0" applyAlignment="0" applyProtection="0"/>
    <xf numFmtId="0" fontId="39" fillId="8" borderId="0" applyNumberFormat="0" applyBorder="0" applyAlignment="0" applyProtection="0"/>
    <xf numFmtId="0" fontId="39" fillId="2" borderId="0" applyNumberFormat="0" applyBorder="0" applyAlignment="0" applyProtection="0"/>
    <xf numFmtId="0" fontId="42" fillId="0" borderId="0">
      <alignment horizontal="center" wrapText="1"/>
      <protection locked="0"/>
    </xf>
    <xf numFmtId="0" fontId="39" fillId="17" borderId="0" applyNumberFormat="0" applyBorder="0" applyAlignment="0" applyProtection="0"/>
    <xf numFmtId="0" fontId="39" fillId="17" borderId="0" applyNumberFormat="0" applyBorder="0" applyAlignment="0" applyProtection="0"/>
    <xf numFmtId="0" fontId="0" fillId="0" borderId="0">
      <alignment vertical="center"/>
      <protection/>
    </xf>
    <xf numFmtId="0" fontId="31" fillId="5" borderId="0" applyNumberFormat="0" applyBorder="0" applyAlignment="0" applyProtection="0"/>
    <xf numFmtId="0" fontId="39" fillId="20"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3" fillId="11" borderId="0" applyNumberFormat="0" applyBorder="0" applyAlignment="0" applyProtection="0"/>
    <xf numFmtId="0" fontId="5" fillId="2" borderId="0" applyNumberFormat="0" applyBorder="0" applyAlignment="0" applyProtection="0"/>
    <xf numFmtId="0" fontId="30" fillId="8" borderId="0" applyNumberFormat="0" applyBorder="0" applyAlignment="0" applyProtection="0"/>
    <xf numFmtId="0" fontId="14" fillId="12" borderId="0" applyNumberFormat="0" applyBorder="0" applyAlignment="0" applyProtection="0"/>
    <xf numFmtId="0" fontId="21" fillId="2" borderId="0" applyNumberFormat="0" applyBorder="0" applyAlignment="0" applyProtection="0"/>
    <xf numFmtId="0" fontId="14" fillId="12" borderId="0" applyNumberFormat="0" applyBorder="0" applyAlignment="0" applyProtection="0"/>
    <xf numFmtId="0" fontId="5" fillId="2" borderId="0" applyNumberFormat="0" applyBorder="0" applyAlignment="0" applyProtection="0"/>
    <xf numFmtId="0" fontId="14" fillId="13" borderId="0" applyNumberFormat="0" applyBorder="0" applyAlignment="0" applyProtection="0"/>
    <xf numFmtId="0" fontId="5" fillId="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5" fillId="2" borderId="0" applyNumberFormat="0" applyBorder="0" applyAlignment="0" applyProtection="0"/>
    <xf numFmtId="0" fontId="14" fillId="7" borderId="0" applyNumberFormat="0" applyBorder="0" applyAlignment="0" applyProtection="0"/>
    <xf numFmtId="0" fontId="5" fillId="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80" fontId="70" fillId="0" borderId="0">
      <alignment/>
      <protection/>
    </xf>
    <xf numFmtId="0" fontId="14" fillId="17" borderId="0" applyNumberFormat="0" applyBorder="0" applyAlignment="0" applyProtection="0"/>
    <xf numFmtId="180" fontId="70" fillId="0" borderId="0">
      <alignment vertical="center"/>
      <protection/>
    </xf>
    <xf numFmtId="0" fontId="14" fillId="17" borderId="0" applyNumberFormat="0" applyBorder="0" applyAlignment="0" applyProtection="0"/>
    <xf numFmtId="180" fontId="70" fillId="0" borderId="0">
      <alignment/>
      <protection/>
    </xf>
    <xf numFmtId="0" fontId="14" fillId="17" borderId="0" applyNumberFormat="0" applyBorder="0" applyAlignment="0" applyProtection="0"/>
    <xf numFmtId="0" fontId="47" fillId="0" borderId="0" applyNumberFormat="0" applyFill="0" applyBorder="0" applyAlignment="0" applyProtection="0"/>
    <xf numFmtId="0" fontId="14" fillId="12" borderId="0" applyNumberFormat="0" applyBorder="0" applyAlignment="0" applyProtection="0"/>
    <xf numFmtId="0" fontId="47" fillId="0" borderId="0" applyNumberForma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21" fillId="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181" fontId="67" fillId="0" borderId="0">
      <alignment vertical="center"/>
      <protection/>
    </xf>
    <xf numFmtId="0" fontId="39" fillId="13" borderId="0" applyNumberFormat="0" applyBorder="0" applyAlignment="0" applyProtection="0"/>
    <xf numFmtId="0" fontId="55" fillId="20" borderId="0" applyNumberFormat="0" applyBorder="0" applyAlignment="0" applyProtection="0"/>
    <xf numFmtId="0" fontId="59" fillId="2" borderId="0" applyNumberFormat="0" applyBorder="0" applyAlignment="0" applyProtection="0"/>
    <xf numFmtId="0" fontId="39" fillId="12" borderId="0" applyNumberFormat="0" applyBorder="0" applyAlignment="0" applyProtection="0"/>
    <xf numFmtId="0" fontId="57" fillId="17" borderId="0" applyNumberFormat="0" applyBorder="0" applyAlignment="0" applyProtection="0"/>
    <xf numFmtId="0" fontId="31" fillId="18" borderId="0" applyNumberFormat="0" applyBorder="0" applyAlignment="0" applyProtection="0"/>
    <xf numFmtId="0" fontId="59" fillId="2" borderId="0" applyNumberFormat="0" applyBorder="0" applyAlignment="0" applyProtection="0"/>
    <xf numFmtId="0" fontId="21" fillId="2" borderId="0" applyNumberFormat="0" applyBorder="0" applyAlignment="0" applyProtection="0"/>
    <xf numFmtId="0" fontId="39" fillId="23" borderId="0" applyNumberFormat="0" applyBorder="0" applyAlignment="0" applyProtection="0"/>
    <xf numFmtId="0" fontId="31" fillId="15" borderId="0" applyNumberFormat="0" applyBorder="0" applyAlignment="0" applyProtection="0"/>
    <xf numFmtId="0" fontId="0" fillId="0" borderId="0">
      <alignment/>
      <protection/>
    </xf>
    <xf numFmtId="0" fontId="13" fillId="21" borderId="0" applyNumberFormat="0" applyBorder="0" applyAlignment="0" applyProtection="0"/>
    <xf numFmtId="0" fontId="30" fillId="8" borderId="0" applyNumberFormat="0" applyBorder="0" applyAlignment="0" applyProtection="0"/>
    <xf numFmtId="0" fontId="31" fillId="15" borderId="0" applyNumberFormat="0" applyBorder="0" applyAlignment="0" applyProtection="0"/>
    <xf numFmtId="0" fontId="13" fillId="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7" fillId="16" borderId="0" applyNumberFormat="0" applyBorder="0" applyAlignment="0" applyProtection="0"/>
    <xf numFmtId="0" fontId="31" fillId="7" borderId="0" applyNumberFormat="0" applyBorder="0" applyAlignment="0" applyProtection="0"/>
    <xf numFmtId="14" fontId="42" fillId="0" borderId="0">
      <alignment horizontal="center" wrapText="1"/>
      <protection locked="0"/>
    </xf>
    <xf numFmtId="0" fontId="31" fillId="10" borderId="0" applyNumberFormat="0" applyBorder="0" applyAlignment="0" applyProtection="0"/>
    <xf numFmtId="14" fontId="42" fillId="0" borderId="0">
      <alignment horizontal="center" vertical="center" wrapText="1"/>
      <protection locked="0"/>
    </xf>
    <xf numFmtId="0" fontId="31" fillId="10" borderId="0" applyNumberFormat="0" applyBorder="0" applyAlignment="0" applyProtection="0"/>
    <xf numFmtId="0" fontId="59" fillId="2" borderId="0" applyNumberFormat="0" applyBorder="0" applyAlignment="0" applyProtection="0"/>
    <xf numFmtId="0" fontId="31" fillId="10" borderId="0" applyNumberFormat="0" applyBorder="0" applyAlignment="0" applyProtection="0"/>
    <xf numFmtId="0" fontId="31" fillId="1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72" fillId="0" borderId="0">
      <alignment/>
      <protection/>
    </xf>
    <xf numFmtId="0" fontId="31" fillId="24" borderId="0" applyNumberFormat="0" applyBorder="0" applyAlignment="0" applyProtection="0"/>
    <xf numFmtId="0" fontId="54" fillId="15" borderId="0" applyNumberFormat="0" applyBorder="0" applyAlignment="0" applyProtection="0"/>
    <xf numFmtId="0" fontId="54" fillId="4" borderId="0" applyNumberFormat="0" applyBorder="0" applyAlignment="0" applyProtection="0"/>
    <xf numFmtId="0" fontId="30" fillId="8" borderId="0" applyNumberFormat="0" applyBorder="0" applyAlignment="0" applyProtection="0"/>
    <xf numFmtId="0" fontId="54" fillId="24" borderId="0" applyNumberFormat="0" applyBorder="0" applyAlignment="0" applyProtection="0"/>
    <xf numFmtId="0" fontId="21" fillId="2" borderId="0" applyNumberFormat="0" applyBorder="0" applyAlignment="0" applyProtection="0"/>
    <xf numFmtId="0" fontId="26" fillId="0" borderId="0">
      <alignment/>
      <protection locked="0"/>
    </xf>
    <xf numFmtId="0" fontId="7" fillId="8" borderId="0" applyNumberFormat="0" applyBorder="0" applyAlignment="0" applyProtection="0"/>
    <xf numFmtId="0" fontId="26" fillId="0" borderId="0">
      <alignment vertical="center"/>
      <protection locked="0"/>
    </xf>
    <xf numFmtId="0" fontId="0" fillId="0" borderId="0">
      <alignment vertical="center"/>
      <protection/>
    </xf>
    <xf numFmtId="0" fontId="27" fillId="9"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57" fillId="17" borderId="0" applyNumberFormat="0" applyBorder="0" applyAlignment="0" applyProtection="0"/>
    <xf numFmtId="0" fontId="13" fillId="21" borderId="0" applyNumberFormat="0" applyBorder="0" applyAlignment="0" applyProtection="0"/>
    <xf numFmtId="0" fontId="57"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7" fillId="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1" fillId="2" borderId="0" applyNumberFormat="0" applyBorder="0" applyAlignment="0" applyProtection="0"/>
    <xf numFmtId="0" fontId="27" fillId="12" borderId="0" applyNumberFormat="0" applyBorder="0" applyAlignment="0" applyProtection="0"/>
    <xf numFmtId="0" fontId="27" fillId="6" borderId="0" applyNumberFormat="0" applyBorder="0" applyAlignment="0" applyProtection="0"/>
    <xf numFmtId="0" fontId="31" fillId="5" borderId="0" applyNumberFormat="0" applyBorder="0" applyAlignment="0" applyProtection="0"/>
    <xf numFmtId="0" fontId="14" fillId="0" borderId="0">
      <alignment vertical="center"/>
      <protection/>
    </xf>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1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60" fillId="3" borderId="1" applyNumberFormat="0" applyAlignment="0" applyProtection="0"/>
    <xf numFmtId="41" fontId="0" fillId="0" borderId="0" applyFont="0" applyFill="0" applyBorder="0" applyAlignment="0" applyProtection="0"/>
    <xf numFmtId="0" fontId="13" fillId="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51" fillId="17" borderId="0" applyNumberFormat="0" applyBorder="0" applyAlignment="0" applyProtection="0"/>
    <xf numFmtId="0" fontId="31" fillId="18" borderId="0" applyNumberFormat="0" applyBorder="0" applyAlignment="0" applyProtection="0"/>
    <xf numFmtId="0" fontId="51" fillId="17" borderId="0" applyNumberFormat="0" applyBorder="0" applyAlignment="0" applyProtection="0"/>
    <xf numFmtId="0" fontId="31" fillId="18" borderId="0" applyNumberFormat="0" applyBorder="0" applyAlignment="0" applyProtection="0"/>
    <xf numFmtId="0" fontId="0" fillId="0" borderId="0">
      <alignment vertical="center"/>
      <protection/>
    </xf>
    <xf numFmtId="0" fontId="31" fillId="18" borderId="0" applyNumberFormat="0" applyBorder="0" applyAlignment="0" applyProtection="0"/>
    <xf numFmtId="0" fontId="0" fillId="0" borderId="0">
      <alignment/>
      <protection/>
    </xf>
    <xf numFmtId="0" fontId="31" fillId="18" borderId="0" applyNumberFormat="0" applyBorder="0" applyAlignment="0" applyProtection="0"/>
    <xf numFmtId="0" fontId="27" fillId="28"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31" fillId="14" borderId="0" applyNumberFormat="0" applyBorder="0" applyAlignment="0" applyProtection="0"/>
    <xf numFmtId="0" fontId="31" fillId="4" borderId="0" applyNumberFormat="0" applyBorder="0" applyAlignment="0" applyProtection="0"/>
    <xf numFmtId="0" fontId="13" fillId="11" borderId="0" applyNumberFormat="0" applyBorder="0" applyAlignment="0" applyProtection="0"/>
    <xf numFmtId="0" fontId="31" fillId="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 borderId="0" applyNumberFormat="0" applyBorder="0" applyAlignment="0" applyProtection="0"/>
    <xf numFmtId="0" fontId="59" fillId="2" borderId="0" applyNumberFormat="0" applyBorder="0" applyAlignment="0" applyProtection="0"/>
    <xf numFmtId="183" fontId="0" fillId="0" borderId="0" applyFont="0" applyFill="0" applyBorder="0" applyAlignment="0" applyProtection="0"/>
    <xf numFmtId="0" fontId="27" fillId="6" borderId="0" applyNumberFormat="0" applyBorder="0" applyAlignment="0" applyProtection="0"/>
    <xf numFmtId="0" fontId="13" fillId="2" borderId="0" applyNumberFormat="0" applyBorder="0" applyAlignment="0" applyProtection="0"/>
    <xf numFmtId="0" fontId="13" fillId="11" borderId="0" applyNumberFormat="0" applyBorder="0" applyAlignment="0" applyProtection="0"/>
    <xf numFmtId="0" fontId="27"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0" fillId="0" borderId="0" applyFont="0" applyFill="0" applyBorder="0" applyAlignment="0" applyProtection="0"/>
    <xf numFmtId="0" fontId="13" fillId="20" borderId="0" applyNumberFormat="0" applyBorder="0" applyAlignment="0" applyProtection="0"/>
    <xf numFmtId="0" fontId="21" fillId="2" borderId="0" applyNumberFormat="0" applyBorder="0" applyAlignment="0" applyProtection="0"/>
    <xf numFmtId="0" fontId="27" fillId="6" borderId="0" applyNumberFormat="0" applyBorder="0" applyAlignment="0" applyProtection="0"/>
    <xf numFmtId="0" fontId="21" fillId="2" borderId="0" applyNumberFormat="0" applyBorder="0" applyAlignment="0" applyProtection="0"/>
    <xf numFmtId="0" fontId="27" fillId="6"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0" fillId="8" borderId="0" applyNumberFormat="0" applyBorder="0" applyAlignment="0" applyProtection="0"/>
    <xf numFmtId="0" fontId="31" fillId="14" borderId="0" applyNumberFormat="0" applyBorder="0" applyAlignment="0" applyProtection="0"/>
    <xf numFmtId="0" fontId="21" fillId="2" borderId="0" applyNumberFormat="0" applyBorder="0" applyAlignment="0" applyProtection="0"/>
    <xf numFmtId="0" fontId="31" fillId="10" borderId="0" applyNumberFormat="0" applyBorder="0" applyAlignment="0" applyProtection="0"/>
    <xf numFmtId="0" fontId="13" fillId="21"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43" fontId="0" fillId="0" borderId="0" applyFont="0" applyFill="0" applyBorder="0" applyAlignment="0" applyProtection="0"/>
    <xf numFmtId="0" fontId="21" fillId="2" borderId="0" applyNumberFormat="0" applyBorder="0" applyAlignment="0" applyProtection="0"/>
    <xf numFmtId="0" fontId="7" fillId="8" borderId="0" applyNumberFormat="0" applyBorder="0" applyAlignment="0" applyProtection="0"/>
    <xf numFmtId="0" fontId="13" fillId="6" borderId="0" applyNumberFormat="0" applyBorder="0" applyAlignment="0" applyProtection="0"/>
    <xf numFmtId="0" fontId="0" fillId="25" borderId="0" applyNumberFormat="0" applyFont="0" applyBorder="0" applyAlignment="0" applyProtection="0"/>
    <xf numFmtId="0" fontId="27" fillId="6" borderId="0" applyNumberFormat="0" applyBorder="0" applyAlignment="0" applyProtection="0"/>
    <xf numFmtId="0" fontId="31" fillId="10"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22" borderId="0" applyNumberFormat="0" applyBorder="0" applyAlignment="0" applyProtection="0"/>
    <xf numFmtId="0" fontId="21" fillId="2"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21" fillId="2" borderId="0" applyNumberFormat="0" applyBorder="0" applyAlignment="0" applyProtection="0"/>
    <xf numFmtId="182" fontId="0" fillId="0" borderId="0" applyFont="0" applyFill="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4"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13" fillId="20" borderId="0" applyNumberFormat="0" applyBorder="0" applyAlignment="0" applyProtection="0"/>
    <xf numFmtId="0" fontId="21" fillId="2" borderId="0" applyNumberFormat="0" applyBorder="0" applyAlignment="0" applyProtection="0"/>
    <xf numFmtId="0" fontId="13" fillId="21" borderId="0" applyNumberFormat="0" applyBorder="0" applyAlignment="0" applyProtection="0"/>
    <xf numFmtId="0" fontId="21" fillId="2" borderId="0" applyNumberFormat="0" applyBorder="0" applyAlignment="0" applyProtection="0"/>
    <xf numFmtId="0" fontId="44" fillId="0" borderId="0" applyProtection="0">
      <alignment/>
    </xf>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1" fillId="4" borderId="0" applyNumberFormat="0" applyBorder="0" applyAlignment="0" applyProtection="0"/>
    <xf numFmtId="0" fontId="71" fillId="0" borderId="9" applyNumberFormat="0" applyFill="0" applyAlignment="0" applyProtection="0"/>
    <xf numFmtId="0" fontId="57" fillId="17"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13" fillId="11" borderId="0" applyNumberFormat="0" applyBorder="0" applyAlignment="0" applyProtection="0"/>
    <xf numFmtId="0" fontId="21"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7" fillId="3" borderId="0" applyNumberFormat="0" applyBorder="0" applyAlignment="0" applyProtection="0"/>
    <xf numFmtId="0" fontId="31" fillId="22" borderId="0" applyNumberFormat="0" applyBorder="0" applyAlignment="0" applyProtection="0"/>
    <xf numFmtId="38" fontId="0" fillId="0" borderId="0" applyFont="0" applyFill="0" applyBorder="0" applyAlignment="0" applyProtection="0"/>
    <xf numFmtId="0" fontId="31" fillId="22" borderId="0" applyNumberFormat="0" applyBorder="0" applyAlignment="0" applyProtection="0"/>
    <xf numFmtId="0" fontId="31" fillId="22" borderId="0" applyNumberFormat="0" applyBorder="0" applyAlignment="0" applyProtection="0"/>
    <xf numFmtId="0" fontId="0" fillId="0" borderId="0">
      <alignment/>
      <protection/>
    </xf>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57" fillId="17"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7" fillId="24" borderId="0" applyNumberFormat="0" applyBorder="0" applyAlignment="0" applyProtection="0"/>
    <xf numFmtId="0" fontId="21" fillId="2" borderId="0" applyNumberFormat="0" applyBorder="0" applyAlignment="0" applyProtection="0"/>
    <xf numFmtId="0" fontId="42" fillId="0" borderId="0">
      <alignment horizontal="center" wrapText="1"/>
      <protection locked="0"/>
    </xf>
    <xf numFmtId="0" fontId="45" fillId="0" borderId="0" applyNumberFormat="0" applyFill="0" applyBorder="0" applyAlignment="0" applyProtection="0"/>
    <xf numFmtId="0" fontId="42" fillId="0" borderId="0">
      <alignment horizontal="center" vertical="center" wrapText="1"/>
      <protection locked="0"/>
    </xf>
    <xf numFmtId="0" fontId="30" fillId="8" borderId="0" applyNumberFormat="0" applyBorder="0" applyAlignment="0" applyProtection="0"/>
    <xf numFmtId="0" fontId="30" fillId="8" borderId="0" applyNumberFormat="0" applyBorder="0" applyAlignment="0" applyProtection="0"/>
    <xf numFmtId="0" fontId="0" fillId="0" borderId="0">
      <alignment/>
      <protection/>
    </xf>
    <xf numFmtId="0" fontId="30" fillId="8" borderId="0" applyNumberFormat="0" applyBorder="0" applyAlignment="0" applyProtection="0"/>
    <xf numFmtId="0" fontId="30" fillId="8" borderId="0" applyNumberFormat="0" applyBorder="0" applyAlignment="0" applyProtection="0"/>
    <xf numFmtId="3" fontId="75" fillId="0" borderId="0">
      <alignment/>
      <protection/>
    </xf>
    <xf numFmtId="3" fontId="75" fillId="0" borderId="0">
      <alignment vertical="center"/>
      <protection/>
    </xf>
    <xf numFmtId="3" fontId="75" fillId="0" borderId="0">
      <alignment/>
      <protection/>
    </xf>
    <xf numFmtId="3" fontId="75" fillId="0" borderId="0">
      <alignment vertical="center"/>
      <protection/>
    </xf>
    <xf numFmtId="0" fontId="0" fillId="0" borderId="0">
      <alignment vertical="center"/>
      <protection/>
    </xf>
    <xf numFmtId="188" fontId="76" fillId="0" borderId="13" applyAlignment="0" applyProtection="0"/>
    <xf numFmtId="188" fontId="76" fillId="0" borderId="13" applyAlignment="0" applyProtection="0"/>
    <xf numFmtId="188" fontId="76" fillId="0" borderId="13" applyAlignment="0" applyProtection="0"/>
    <xf numFmtId="188" fontId="76" fillId="0" borderId="13" applyAlignment="0" applyProtection="0"/>
    <xf numFmtId="188" fontId="76" fillId="0" borderId="13" applyAlignment="0" applyProtection="0"/>
    <xf numFmtId="0" fontId="5" fillId="20" borderId="0" applyNumberFormat="0" applyBorder="0" applyAlignment="0" applyProtection="0"/>
    <xf numFmtId="188" fontId="76" fillId="0" borderId="13" applyAlignment="0" applyProtection="0"/>
    <xf numFmtId="188" fontId="76" fillId="0" borderId="13" applyAlignment="0" applyProtection="0"/>
    <xf numFmtId="188" fontId="76" fillId="0" borderId="13" applyAlignment="0" applyProtection="0"/>
    <xf numFmtId="188" fontId="76" fillId="0" borderId="13" applyAlignment="0" applyProtection="0"/>
    <xf numFmtId="188" fontId="76" fillId="0" borderId="13" applyAlignment="0" applyProtection="0"/>
    <xf numFmtId="188" fontId="76" fillId="0" borderId="13" applyAlignment="0" applyProtection="0"/>
    <xf numFmtId="188" fontId="76" fillId="0" borderId="13" applyAlignment="0" applyProtection="0"/>
    <xf numFmtId="188" fontId="76" fillId="0" borderId="13" applyAlignment="0" applyProtection="0"/>
    <xf numFmtId="188" fontId="76" fillId="0" borderId="13" applyAlignment="0" applyProtection="0"/>
    <xf numFmtId="188" fontId="76" fillId="0" borderId="13" applyAlignment="0" applyProtection="0"/>
    <xf numFmtId="188" fontId="76" fillId="0" borderId="13" applyAlignment="0" applyProtection="0"/>
    <xf numFmtId="189" fontId="34" fillId="0" borderId="0" applyFill="0" applyBorder="0" applyAlignment="0">
      <protection/>
    </xf>
    <xf numFmtId="0" fontId="76" fillId="0" borderId="0" applyNumberFormat="0" applyFill="0" applyBorder="0" applyAlignment="0" applyProtection="0"/>
    <xf numFmtId="189" fontId="34" fillId="0" borderId="0" applyFill="0" applyBorder="0" applyAlignment="0">
      <protection/>
    </xf>
    <xf numFmtId="189" fontId="34" fillId="0" borderId="0" applyFill="0" applyBorder="0" applyAlignment="0">
      <protection/>
    </xf>
    <xf numFmtId="189" fontId="34" fillId="0" borderId="0" applyFill="0" applyBorder="0" applyAlignment="0">
      <protection/>
    </xf>
    <xf numFmtId="0" fontId="43" fillId="6" borderId="1" applyNumberFormat="0" applyAlignment="0" applyProtection="0"/>
    <xf numFmtId="0" fontId="43" fillId="6" borderId="1" applyNumberFormat="0" applyAlignment="0" applyProtection="0"/>
    <xf numFmtId="0" fontId="43" fillId="6" borderId="1" applyNumberFormat="0" applyAlignment="0" applyProtection="0"/>
    <xf numFmtId="0" fontId="43" fillId="6" borderId="1" applyNumberFormat="0" applyAlignment="0" applyProtection="0"/>
    <xf numFmtId="0" fontId="30" fillId="8" borderId="0" applyNumberFormat="0" applyBorder="0" applyAlignment="0" applyProtection="0"/>
    <xf numFmtId="0" fontId="43" fillId="6" borderId="1" applyNumberFormat="0" applyAlignment="0" applyProtection="0"/>
    <xf numFmtId="0" fontId="43" fillId="6" borderId="1" applyNumberFormat="0" applyAlignment="0" applyProtection="0"/>
    <xf numFmtId="0" fontId="43" fillId="6" borderId="1" applyNumberFormat="0" applyAlignment="0" applyProtection="0"/>
    <xf numFmtId="0" fontId="30" fillId="8" borderId="0" applyNumberFormat="0" applyBorder="0" applyAlignment="0" applyProtection="0"/>
    <xf numFmtId="0" fontId="29" fillId="9" borderId="7" applyNumberFormat="0" applyAlignment="0" applyProtection="0"/>
    <xf numFmtId="0" fontId="29" fillId="9" borderId="7" applyNumberFormat="0" applyAlignment="0" applyProtection="0"/>
    <xf numFmtId="0" fontId="0" fillId="0" borderId="0">
      <alignment/>
      <protection/>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81" fontId="67" fillId="0" borderId="0">
      <alignment/>
      <protection/>
    </xf>
    <xf numFmtId="181" fontId="67" fillId="0" borderId="0">
      <alignment vertical="center"/>
      <protection/>
    </xf>
    <xf numFmtId="181" fontId="67" fillId="0" borderId="0">
      <alignment/>
      <protection/>
    </xf>
    <xf numFmtId="190" fontId="0" fillId="0" borderId="0" applyFont="0" applyFill="0" applyBorder="0" applyAlignment="0" applyProtection="0"/>
    <xf numFmtId="176" fontId="24" fillId="0" borderId="0">
      <alignment/>
      <protection/>
    </xf>
    <xf numFmtId="176" fontId="24" fillId="0" borderId="0">
      <alignment vertical="center"/>
      <protection/>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91" fontId="0" fillId="0" borderId="0" applyFont="0" applyFill="0" applyBorder="0" applyAlignment="0" applyProtection="0"/>
    <xf numFmtId="192" fontId="67" fillId="0" borderId="0">
      <alignment/>
      <protection/>
    </xf>
    <xf numFmtId="0" fontId="30" fillId="8" borderId="0" applyNumberFormat="0" applyBorder="0" applyAlignment="0" applyProtection="0"/>
    <xf numFmtId="192" fontId="67" fillId="0" borderId="0">
      <alignment vertical="center"/>
      <protection/>
    </xf>
    <xf numFmtId="192" fontId="67" fillId="0" borderId="0">
      <alignment/>
      <protection/>
    </xf>
    <xf numFmtId="192" fontId="67" fillId="0" borderId="0">
      <alignment vertical="center"/>
      <protection/>
    </xf>
    <xf numFmtId="0" fontId="36" fillId="0" borderId="0" applyProtection="0">
      <alignment/>
    </xf>
    <xf numFmtId="0" fontId="36" fillId="0" borderId="0" applyProtection="0">
      <alignment vertical="center"/>
    </xf>
    <xf numFmtId="0" fontId="14" fillId="0" borderId="0">
      <alignment vertical="center"/>
      <protection/>
    </xf>
    <xf numFmtId="41" fontId="0" fillId="0" borderId="0" applyFont="0" applyFill="0" applyBorder="0" applyAlignment="0" applyProtection="0"/>
    <xf numFmtId="0" fontId="63" fillId="0" borderId="0" applyNumberFormat="0" applyFill="0" applyBorder="0" applyAlignment="0" applyProtection="0"/>
    <xf numFmtId="0" fontId="56" fillId="0" borderId="9" applyNumberFormat="0" applyFill="0" applyAlignment="0" applyProtection="0"/>
    <xf numFmtId="43" fontId="0" fillId="0" borderId="0" applyFont="0" applyFill="0" applyBorder="0" applyAlignment="0" applyProtection="0"/>
    <xf numFmtId="0" fontId="21" fillId="2" borderId="0" applyNumberFormat="0" applyBorder="0" applyAlignment="0" applyProtection="0"/>
    <xf numFmtId="187" fontId="67" fillId="0" borderId="0">
      <alignment/>
      <protection/>
    </xf>
    <xf numFmtId="187" fontId="67" fillId="0" borderId="0">
      <alignment vertical="center"/>
      <protection/>
    </xf>
    <xf numFmtId="187" fontId="67" fillId="0" borderId="0">
      <alignment/>
      <protection/>
    </xf>
    <xf numFmtId="187" fontId="67"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4" fillId="0" borderId="0">
      <alignment vertical="center"/>
      <protection/>
    </xf>
    <xf numFmtId="2" fontId="36" fillId="0" borderId="0" applyProtection="0">
      <alignment/>
    </xf>
    <xf numFmtId="2" fontId="36" fillId="0" borderId="0" applyProtection="0">
      <alignment vertical="center"/>
    </xf>
    <xf numFmtId="2" fontId="36" fillId="0" borderId="0" applyProtection="0">
      <alignment/>
    </xf>
    <xf numFmtId="2" fontId="36" fillId="0" borderId="0" applyProtection="0">
      <alignment vertical="center"/>
    </xf>
    <xf numFmtId="0" fontId="78" fillId="0" borderId="0" applyNumberFormat="0" applyFill="0" applyBorder="0" applyAlignment="0" applyProtection="0"/>
    <xf numFmtId="0" fontId="0" fillId="0" borderId="0">
      <alignment/>
      <protection/>
    </xf>
    <xf numFmtId="4" fontId="0" fillId="0" borderId="0" applyFont="0" applyFill="0" applyBorder="0" applyAlignment="0" applyProtection="0"/>
    <xf numFmtId="0" fontId="21" fillId="2" borderId="0" applyNumberFormat="0" applyBorder="0" applyAlignment="0" applyProtection="0"/>
    <xf numFmtId="0" fontId="5" fillId="20" borderId="0" applyNumberFormat="0" applyBorder="0" applyAlignment="0" applyProtection="0"/>
    <xf numFmtId="0" fontId="0" fillId="0" borderId="0">
      <alignment vertical="center"/>
      <protection/>
    </xf>
    <xf numFmtId="0" fontId="21" fillId="2" borderId="0" applyNumberFormat="0" applyBorder="0" applyAlignment="0" applyProtection="0"/>
    <xf numFmtId="0" fontId="5" fillId="20" borderId="0" applyNumberFormat="0" applyBorder="0" applyAlignment="0" applyProtection="0"/>
    <xf numFmtId="0" fontId="0" fillId="0" borderId="0">
      <alignment vertical="center"/>
      <protection/>
    </xf>
    <xf numFmtId="0" fontId="21" fillId="2" borderId="0" applyNumberFormat="0" applyBorder="0" applyAlignment="0" applyProtection="0"/>
    <xf numFmtId="0" fontId="0" fillId="0" borderId="0">
      <alignment/>
      <protection/>
    </xf>
    <xf numFmtId="0" fontId="21" fillId="2" borderId="0" applyNumberFormat="0" applyBorder="0" applyAlignment="0" applyProtection="0"/>
    <xf numFmtId="0" fontId="21" fillId="2"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57" fillId="17" borderId="0" applyNumberFormat="0" applyBorder="0" applyAlignment="0" applyProtection="0"/>
    <xf numFmtId="0" fontId="64" fillId="6" borderId="0" applyNumberFormat="0" applyBorder="0" applyAlignment="0" applyProtection="0"/>
    <xf numFmtId="0" fontId="54" fillId="4" borderId="0" applyNumberFormat="0" applyBorder="0" applyAlignment="0" applyProtection="0"/>
    <xf numFmtId="0" fontId="68" fillId="0" borderId="14" applyNumberFormat="0" applyAlignment="0" applyProtection="0"/>
    <xf numFmtId="0" fontId="68" fillId="0" borderId="14" applyNumberFormat="0" applyAlignment="0" applyProtection="0"/>
    <xf numFmtId="0" fontId="68" fillId="0" borderId="15">
      <alignment horizontal="left" vertical="center"/>
      <protection/>
    </xf>
    <xf numFmtId="0" fontId="68" fillId="0" borderId="15">
      <alignment horizontal="left" vertical="center"/>
      <protection/>
    </xf>
    <xf numFmtId="0" fontId="68" fillId="0" borderId="15">
      <alignment horizontal="left" vertical="center"/>
      <protection/>
    </xf>
    <xf numFmtId="0" fontId="68" fillId="0" borderId="15">
      <alignment horizontal="left" vertical="center"/>
      <protection/>
    </xf>
    <xf numFmtId="0" fontId="68" fillId="0" borderId="15">
      <alignment horizontal="left" vertical="center"/>
      <protection/>
    </xf>
    <xf numFmtId="0" fontId="68" fillId="0" borderId="15">
      <alignment horizontal="left" vertical="center"/>
      <protection/>
    </xf>
    <xf numFmtId="0" fontId="68" fillId="0" borderId="15">
      <alignment horizontal="left" vertical="center"/>
      <protection/>
    </xf>
    <xf numFmtId="0" fontId="21" fillId="20" borderId="0" applyNumberFormat="0" applyBorder="0" applyAlignment="0" applyProtection="0"/>
    <xf numFmtId="0" fontId="68" fillId="0" borderId="15">
      <alignment horizontal="left" vertical="center"/>
      <protection/>
    </xf>
    <xf numFmtId="0" fontId="68" fillId="0" borderId="15">
      <alignment horizontal="left" vertical="center"/>
      <protection/>
    </xf>
    <xf numFmtId="0" fontId="30" fillId="17" borderId="0" applyNumberFormat="0" applyBorder="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4" fillId="0" borderId="0" applyProtection="0">
      <alignment vertical="center"/>
    </xf>
    <xf numFmtId="0" fontId="44" fillId="0" borderId="0" applyProtection="0">
      <alignment vertical="center"/>
    </xf>
    <xf numFmtId="0" fontId="21" fillId="2" borderId="0" applyNumberFormat="0" applyBorder="0" applyAlignment="0" applyProtection="0"/>
    <xf numFmtId="0" fontId="68" fillId="0" borderId="0" applyProtection="0">
      <alignment/>
    </xf>
    <xf numFmtId="0" fontId="21" fillId="2" borderId="0" applyNumberFormat="0" applyBorder="0" applyAlignment="0" applyProtection="0"/>
    <xf numFmtId="0" fontId="68" fillId="0" borderId="0" applyProtection="0">
      <alignment vertical="center"/>
    </xf>
    <xf numFmtId="0" fontId="68" fillId="0" borderId="0" applyProtection="0">
      <alignment/>
    </xf>
    <xf numFmtId="0" fontId="68" fillId="0" borderId="0" applyProtection="0">
      <alignment vertical="center"/>
    </xf>
    <xf numFmtId="0" fontId="80" fillId="0" borderId="0" applyNumberFormat="0" applyFill="0" applyBorder="0" applyAlignment="0" applyProtection="0"/>
    <xf numFmtId="0" fontId="37" fillId="3" borderId="1" applyNumberFormat="0" applyAlignment="0" applyProtection="0"/>
    <xf numFmtId="43" fontId="14" fillId="0" borderId="0" applyFont="0" applyFill="0" applyBorder="0" applyAlignment="0" applyProtection="0"/>
    <xf numFmtId="0" fontId="21" fillId="2" borderId="0" applyNumberFormat="0" applyBorder="0" applyAlignment="0" applyProtection="0"/>
    <xf numFmtId="0" fontId="7" fillId="8" borderId="0" applyNumberFormat="0" applyBorder="0" applyAlignment="0" applyProtection="0"/>
    <xf numFmtId="0" fontId="64" fillId="11" borderId="10" applyNumberFormat="0" applyBorder="0" applyAlignment="0" applyProtection="0"/>
    <xf numFmtId="0" fontId="21" fillId="2" borderId="0" applyNumberFormat="0" applyBorder="0" applyAlignment="0" applyProtection="0"/>
    <xf numFmtId="0" fontId="7" fillId="8" borderId="0" applyNumberFormat="0" applyBorder="0" applyAlignment="0" applyProtection="0"/>
    <xf numFmtId="0" fontId="64" fillId="11" borderId="10" applyNumberFormat="0" applyBorder="0" applyAlignment="0" applyProtection="0"/>
    <xf numFmtId="0" fontId="64" fillId="11" borderId="10" applyNumberFormat="0" applyBorder="0" applyAlignment="0" applyProtection="0"/>
    <xf numFmtId="0" fontId="64" fillId="11" borderId="10" applyNumberFormat="0" applyBorder="0" applyAlignment="0" applyProtection="0"/>
    <xf numFmtId="0" fontId="64" fillId="11" borderId="10" applyNumberFormat="0" applyBorder="0" applyAlignment="0" applyProtection="0"/>
    <xf numFmtId="0" fontId="64" fillId="11" borderId="10" applyNumberFormat="0" applyBorder="0" applyAlignment="0" applyProtection="0"/>
    <xf numFmtId="0" fontId="57" fillId="17" borderId="0" applyNumberFormat="0" applyBorder="0" applyAlignment="0" applyProtection="0"/>
    <xf numFmtId="0" fontId="64" fillId="11" borderId="10" applyNumberFormat="0" applyBorder="0" applyAlignment="0" applyProtection="0"/>
    <xf numFmtId="0" fontId="21" fillId="20" borderId="0" applyNumberFormat="0" applyBorder="0" applyAlignment="0" applyProtection="0"/>
    <xf numFmtId="0" fontId="64" fillId="11" borderId="10" applyNumberFormat="0" applyBorder="0" applyAlignment="0" applyProtection="0"/>
    <xf numFmtId="0" fontId="64" fillId="11" borderId="10" applyNumberFormat="0" applyBorder="0" applyAlignment="0" applyProtection="0"/>
    <xf numFmtId="0" fontId="64" fillId="11" borderId="10" applyNumberFormat="0" applyBorder="0" applyAlignment="0" applyProtection="0"/>
    <xf numFmtId="0" fontId="37" fillId="3" borderId="1" applyNumberFormat="0" applyAlignment="0" applyProtection="0"/>
    <xf numFmtId="0" fontId="37" fillId="3" borderId="1" applyNumberFormat="0" applyAlignment="0" applyProtection="0"/>
    <xf numFmtId="0" fontId="37" fillId="3" borderId="1" applyNumberFormat="0" applyAlignment="0" applyProtection="0"/>
    <xf numFmtId="0" fontId="37" fillId="3" borderId="1" applyNumberFormat="0" applyAlignment="0" applyProtection="0"/>
    <xf numFmtId="0" fontId="37" fillId="3" borderId="1" applyNumberFormat="0" applyAlignment="0" applyProtection="0"/>
    <xf numFmtId="0" fontId="37" fillId="3" borderId="1" applyNumberFormat="0" applyAlignment="0" applyProtection="0"/>
    <xf numFmtId="0" fontId="37" fillId="3" borderId="1" applyNumberFormat="0" applyAlignment="0" applyProtection="0"/>
    <xf numFmtId="0" fontId="37" fillId="3" borderId="1" applyNumberFormat="0" applyAlignment="0" applyProtection="0"/>
    <xf numFmtId="0" fontId="60" fillId="3" borderId="1" applyNumberFormat="0" applyAlignment="0" applyProtection="0"/>
    <xf numFmtId="0" fontId="37" fillId="3" borderId="1" applyNumberFormat="0" applyAlignment="0" applyProtection="0"/>
    <xf numFmtId="0" fontId="60" fillId="3" borderId="1" applyNumberFormat="0" applyAlignment="0" applyProtection="0"/>
    <xf numFmtId="0" fontId="66" fillId="17" borderId="0" applyNumberFormat="0" applyBorder="0" applyAlignment="0" applyProtection="0"/>
    <xf numFmtId="0" fontId="37" fillId="3" borderId="1" applyNumberFormat="0" applyAlignment="0" applyProtection="0"/>
    <xf numFmtId="0" fontId="37" fillId="3" borderId="1" applyNumberFormat="0" applyAlignment="0" applyProtection="0"/>
    <xf numFmtId="0" fontId="66" fillId="17" borderId="0" applyNumberFormat="0" applyBorder="0" applyAlignment="0" applyProtection="0"/>
    <xf numFmtId="0" fontId="37" fillId="3" borderId="1" applyNumberFormat="0" applyAlignment="0" applyProtection="0"/>
    <xf numFmtId="0" fontId="37" fillId="3" borderId="1" applyNumberFormat="0" applyAlignment="0" applyProtection="0"/>
    <xf numFmtId="0" fontId="21" fillId="20" borderId="0" applyNumberFormat="0" applyBorder="0" applyAlignment="0" applyProtection="0"/>
    <xf numFmtId="0" fontId="37" fillId="3" borderId="1" applyNumberFormat="0" applyAlignment="0" applyProtection="0"/>
    <xf numFmtId="0" fontId="37" fillId="3" borderId="1" applyNumberFormat="0" applyAlignment="0" applyProtection="0"/>
    <xf numFmtId="0" fontId="37" fillId="3" borderId="1" applyNumberFormat="0" applyAlignment="0" applyProtection="0"/>
    <xf numFmtId="0" fontId="5" fillId="2" borderId="0" applyNumberFormat="0" applyBorder="0" applyAlignment="0" applyProtection="0"/>
    <xf numFmtId="0" fontId="37" fillId="3" borderId="1" applyNumberFormat="0" applyAlignment="0" applyProtection="0"/>
    <xf numFmtId="0" fontId="37" fillId="3" borderId="1" applyNumberFormat="0" applyAlignment="0" applyProtection="0"/>
    <xf numFmtId="0" fontId="37" fillId="3" borderId="1" applyNumberFormat="0" applyAlignment="0" applyProtection="0"/>
    <xf numFmtId="195" fontId="72" fillId="29" borderId="0">
      <alignment/>
      <protection/>
    </xf>
    <xf numFmtId="195" fontId="72" fillId="29" borderId="0">
      <alignment vertical="center"/>
      <protection/>
    </xf>
    <xf numFmtId="195" fontId="72" fillId="29" borderId="0">
      <alignment/>
      <protection/>
    </xf>
    <xf numFmtId="195" fontId="72" fillId="29" borderId="0">
      <alignment vertical="center"/>
      <protection/>
    </xf>
    <xf numFmtId="0" fontId="37" fillId="3" borderId="1"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195" fontId="81" fillId="30" borderId="0">
      <alignment/>
      <protection/>
    </xf>
    <xf numFmtId="0" fontId="14" fillId="31" borderId="0">
      <alignment horizontal="left" vertical="center"/>
      <protection/>
    </xf>
    <xf numFmtId="195" fontId="81" fillId="30" borderId="0">
      <alignment vertical="center"/>
      <protection/>
    </xf>
    <xf numFmtId="0" fontId="14" fillId="31" borderId="0">
      <alignment horizontal="left" vertical="center"/>
      <protection/>
    </xf>
    <xf numFmtId="195" fontId="81" fillId="30" borderId="0">
      <alignment/>
      <protection/>
    </xf>
    <xf numFmtId="0" fontId="14" fillId="31" borderId="0">
      <alignment horizontal="right" vertical="center"/>
      <protection/>
    </xf>
    <xf numFmtId="195" fontId="81" fillId="30" borderId="0">
      <alignment vertical="center"/>
      <protection/>
    </xf>
    <xf numFmtId="38" fontId="0" fillId="0" borderId="0" applyFont="0" applyFill="0" applyBorder="0" applyAlignment="0" applyProtection="0"/>
    <xf numFmtId="0" fontId="0" fillId="0" borderId="0">
      <alignment vertical="center"/>
      <protection/>
    </xf>
    <xf numFmtId="40" fontId="0" fillId="0" borderId="0" applyFont="0" applyFill="0" applyBorder="0" applyAlignment="0" applyProtection="0"/>
    <xf numFmtId="193" fontId="0" fillId="0" borderId="0" applyFont="0" applyFill="0" applyBorder="0" applyAlignment="0" applyProtection="0"/>
    <xf numFmtId="0" fontId="0" fillId="0" borderId="0" applyFont="0" applyFill="0" applyBorder="0" applyAlignment="0" applyProtection="0"/>
    <xf numFmtId="197" fontId="0" fillId="0" borderId="0" applyFont="0" applyFill="0" applyBorder="0" applyAlignment="0" applyProtection="0"/>
    <xf numFmtId="194" fontId="0" fillId="0" borderId="0" applyFont="0" applyFill="0" applyBorder="0" applyAlignment="0" applyProtection="0"/>
    <xf numFmtId="179" fontId="0" fillId="0" borderId="0" applyFont="0" applyFill="0" applyBorder="0" applyAlignment="0" applyProtection="0"/>
    <xf numFmtId="193" fontId="0" fillId="0" borderId="0" applyFont="0" applyFill="0" applyBorder="0" applyAlignment="0" applyProtection="0"/>
    <xf numFmtId="0" fontId="33" fillId="19" borderId="0" applyNumberFormat="0" applyBorder="0" applyAlignment="0" applyProtection="0"/>
    <xf numFmtId="0" fontId="33" fillId="19" borderId="0" applyNumberFormat="0" applyBorder="0" applyAlignment="0" applyProtection="0"/>
    <xf numFmtId="0" fontId="67" fillId="0" borderId="0">
      <alignment/>
      <protection/>
    </xf>
    <xf numFmtId="0" fontId="67" fillId="0" borderId="0">
      <alignment/>
      <protection/>
    </xf>
    <xf numFmtId="0" fontId="67" fillId="0" borderId="0">
      <alignment vertical="center"/>
      <protection/>
    </xf>
    <xf numFmtId="0" fontId="7" fillId="8" borderId="0" applyNumberFormat="0" applyBorder="0" applyAlignment="0" applyProtection="0"/>
    <xf numFmtId="37" fontId="62" fillId="0" borderId="0">
      <alignment/>
      <protection/>
    </xf>
    <xf numFmtId="0" fontId="7" fillId="8" borderId="0" applyNumberFormat="0" applyBorder="0" applyAlignment="0" applyProtection="0"/>
    <xf numFmtId="37" fontId="62" fillId="0" borderId="0">
      <alignment vertical="center"/>
      <protection/>
    </xf>
    <xf numFmtId="37" fontId="62" fillId="0" borderId="0">
      <alignment/>
      <protection/>
    </xf>
    <xf numFmtId="0" fontId="21" fillId="20" borderId="0" applyNumberFormat="0" applyBorder="0" applyAlignment="0" applyProtection="0"/>
    <xf numFmtId="37" fontId="62" fillId="0" borderId="0">
      <alignment vertical="center"/>
      <protection/>
    </xf>
    <xf numFmtId="0" fontId="79" fillId="0" borderId="0">
      <alignment/>
      <protection/>
    </xf>
    <xf numFmtId="0" fontId="79" fillId="0" borderId="0">
      <alignment vertical="center"/>
      <protection/>
    </xf>
    <xf numFmtId="0" fontId="79" fillId="0" borderId="0">
      <alignment/>
      <protection/>
    </xf>
    <xf numFmtId="0" fontId="79" fillId="0" borderId="0">
      <alignment vertical="center"/>
      <protection/>
    </xf>
    <xf numFmtId="180" fontId="70" fillId="0" borderId="0">
      <alignment vertical="center"/>
      <protection/>
    </xf>
    <xf numFmtId="0" fontId="59" fillId="2" borderId="0" applyNumberFormat="0" applyBorder="0" applyAlignment="0" applyProtection="0"/>
    <xf numFmtId="0" fontId="26" fillId="0" borderId="0">
      <alignment/>
      <protection/>
    </xf>
    <xf numFmtId="0" fontId="0" fillId="11" borderId="2" applyNumberFormat="0" applyFont="0" applyAlignment="0" applyProtection="0"/>
    <xf numFmtId="196" fontId="0" fillId="0" borderId="0" applyFont="0" applyFill="0" applyProtection="0">
      <alignment/>
    </xf>
    <xf numFmtId="0" fontId="0" fillId="11" borderId="2" applyNumberFormat="0" applyFont="0" applyAlignment="0" applyProtection="0"/>
    <xf numFmtId="0" fontId="0" fillId="11" borderId="2" applyNumberFormat="0" applyFont="0" applyAlignment="0" applyProtection="0"/>
    <xf numFmtId="0" fontId="0" fillId="11" borderId="2" applyNumberFormat="0" applyFont="0" applyAlignment="0" applyProtection="0"/>
    <xf numFmtId="0" fontId="0" fillId="11" borderId="2" applyNumberFormat="0" applyFont="0" applyAlignment="0" applyProtection="0"/>
    <xf numFmtId="0" fontId="0" fillId="11" borderId="2" applyNumberFormat="0" applyFont="0" applyAlignment="0" applyProtection="0"/>
    <xf numFmtId="0" fontId="0" fillId="11" borderId="2" applyNumberFormat="0" applyFont="0" applyAlignment="0" applyProtection="0"/>
    <xf numFmtId="0" fontId="25" fillId="6" borderId="6" applyNumberFormat="0" applyAlignment="0" applyProtection="0"/>
    <xf numFmtId="0" fontId="25" fillId="6" borderId="6" applyNumberFormat="0" applyAlignment="0" applyProtection="0"/>
    <xf numFmtId="0" fontId="0" fillId="0" borderId="0">
      <alignment/>
      <protection/>
    </xf>
    <xf numFmtId="0" fontId="25" fillId="6" borderId="6" applyNumberFormat="0" applyAlignment="0" applyProtection="0"/>
    <xf numFmtId="0" fontId="0" fillId="0" borderId="0">
      <alignment/>
      <protection/>
    </xf>
    <xf numFmtId="0" fontId="0" fillId="0" borderId="0">
      <alignment/>
      <protection/>
    </xf>
    <xf numFmtId="0" fontId="25" fillId="6" borderId="6" applyNumberFormat="0" applyAlignment="0" applyProtection="0"/>
    <xf numFmtId="0" fontId="0" fillId="0" borderId="0">
      <alignment/>
      <protection/>
    </xf>
    <xf numFmtId="0" fontId="0" fillId="0" borderId="0">
      <alignment/>
      <protection/>
    </xf>
    <xf numFmtId="0" fontId="25" fillId="6" borderId="6" applyNumberFormat="0" applyAlignment="0" applyProtection="0"/>
    <xf numFmtId="0" fontId="25" fillId="6" borderId="6" applyNumberFormat="0" applyAlignment="0" applyProtection="0"/>
    <xf numFmtId="0" fontId="21" fillId="2" borderId="0" applyNumberFormat="0" applyBorder="0" applyAlignment="0" applyProtection="0"/>
    <xf numFmtId="0" fontId="25" fillId="6" borderId="6" applyNumberFormat="0" applyAlignment="0" applyProtection="0"/>
    <xf numFmtId="14" fontId="42" fillId="0" borderId="0">
      <alignment horizontal="center" wrapText="1"/>
      <protection locked="0"/>
    </xf>
    <xf numFmtId="0" fontId="30" fillId="8" borderId="0" applyNumberFormat="0" applyBorder="0" applyAlignment="0" applyProtection="0"/>
    <xf numFmtId="14" fontId="42" fillId="0" borderId="0">
      <alignment horizontal="center" vertical="center" wrapText="1"/>
      <protection locked="0"/>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Alignment="0" applyProtection="0"/>
    <xf numFmtId="0" fontId="59" fillId="2" borderId="0" applyNumberFormat="0" applyBorder="0" applyAlignment="0" applyProtection="0"/>
    <xf numFmtId="0" fontId="61" fillId="27" borderId="11">
      <alignment/>
      <protection locked="0"/>
    </xf>
    <xf numFmtId="0" fontId="0" fillId="0" borderId="0" applyNumberFormat="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0" fontId="21" fillId="2" borderId="0" applyNumberFormat="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0" fillId="0" borderId="0">
      <alignment/>
      <protection/>
    </xf>
    <xf numFmtId="4" fontId="0" fillId="0" borderId="0" applyFont="0" applyFill="0" applyBorder="0" applyAlignment="0" applyProtection="0"/>
    <xf numFmtId="0" fontId="0" fillId="0" borderId="0">
      <alignment/>
      <protection/>
    </xf>
    <xf numFmtId="4" fontId="0" fillId="0" borderId="0" applyFont="0" applyFill="0" applyBorder="0" applyAlignment="0" applyProtection="0"/>
    <xf numFmtId="0" fontId="0" fillId="0" borderId="0">
      <alignment/>
      <protection/>
    </xf>
    <xf numFmtId="0" fontId="0" fillId="0" borderId="0">
      <alignment/>
      <protection/>
    </xf>
    <xf numFmtId="0" fontId="76" fillId="0" borderId="16">
      <alignment horizontal="center"/>
      <protection/>
    </xf>
    <xf numFmtId="0" fontId="76" fillId="0" borderId="16">
      <alignment horizontal="center" vertical="center"/>
      <protection/>
    </xf>
    <xf numFmtId="0" fontId="21" fillId="2" borderId="0" applyNumberFormat="0" applyBorder="0" applyAlignment="0" applyProtection="0"/>
    <xf numFmtId="0" fontId="76" fillId="0" borderId="16">
      <alignment horizontal="center"/>
      <protection/>
    </xf>
    <xf numFmtId="0" fontId="21" fillId="2" borderId="0" applyNumberFormat="0" applyBorder="0" applyAlignment="0" applyProtection="0"/>
    <xf numFmtId="0" fontId="30" fillId="8" borderId="0" applyNumberFormat="0" applyBorder="0" applyAlignment="0" applyProtection="0"/>
    <xf numFmtId="0" fontId="63" fillId="0" borderId="0" applyNumberFormat="0" applyFill="0" applyBorder="0" applyAlignment="0" applyProtection="0"/>
    <xf numFmtId="0" fontId="76" fillId="0" borderId="16">
      <alignment horizontal="center" vertical="center"/>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25" borderId="0" applyNumberFormat="0" applyFont="0" applyBorder="0" applyAlignment="0" applyProtection="0"/>
    <xf numFmtId="0" fontId="14" fillId="0" borderId="0">
      <alignment vertical="center"/>
      <protection/>
    </xf>
    <xf numFmtId="0" fontId="0" fillId="25" borderId="0" applyNumberFormat="0" applyFont="0" applyBorder="0" applyAlignment="0" applyProtection="0"/>
    <xf numFmtId="3" fontId="82" fillId="0" borderId="0">
      <alignment/>
      <protection/>
    </xf>
    <xf numFmtId="3" fontId="82" fillId="0" borderId="0">
      <alignment vertical="center"/>
      <protection/>
    </xf>
    <xf numFmtId="3" fontId="82" fillId="0" borderId="0">
      <alignment/>
      <protection/>
    </xf>
    <xf numFmtId="3" fontId="82" fillId="0" borderId="0">
      <alignment vertical="center"/>
      <protection/>
    </xf>
    <xf numFmtId="0" fontId="35" fillId="8" borderId="0" applyNumberFormat="0" applyBorder="0" applyAlignment="0" applyProtection="0"/>
    <xf numFmtId="0" fontId="76" fillId="0" borderId="0" applyNumberFormat="0" applyFill="0" applyBorder="0" applyAlignment="0" applyProtection="0"/>
    <xf numFmtId="0" fontId="14" fillId="31" borderId="0">
      <alignment horizontal="left" vertical="center"/>
      <protection/>
    </xf>
    <xf numFmtId="0" fontId="59" fillId="2" borderId="0" applyNumberFormat="0" applyBorder="0" applyAlignment="0" applyProtection="0"/>
    <xf numFmtId="0" fontId="30" fillId="8" borderId="0" applyNumberFormat="0" applyBorder="0" applyAlignment="0" applyProtection="0"/>
    <xf numFmtId="0" fontId="14" fillId="31" borderId="0">
      <alignment horizontal="left" vertical="center"/>
      <protection/>
    </xf>
    <xf numFmtId="0" fontId="14" fillId="31" borderId="0">
      <alignment horizontal="left" vertical="center"/>
      <protection/>
    </xf>
    <xf numFmtId="0" fontId="14" fillId="31" borderId="0">
      <alignment horizontal="left" vertical="center"/>
      <protection/>
    </xf>
    <xf numFmtId="0" fontId="14" fillId="31" borderId="0">
      <alignment horizontal="right" vertical="center"/>
      <protection/>
    </xf>
    <xf numFmtId="0" fontId="14" fillId="31" borderId="0">
      <alignment horizontal="right" vertical="center"/>
      <protection/>
    </xf>
    <xf numFmtId="0" fontId="61" fillId="27" borderId="11">
      <alignment/>
      <protection locked="0"/>
    </xf>
    <xf numFmtId="0" fontId="61" fillId="27" borderId="11">
      <alignment vertical="center"/>
      <protection locked="0"/>
    </xf>
    <xf numFmtId="40" fontId="0" fillId="0" borderId="0" applyFont="0" applyFill="0" applyBorder="0" applyAlignment="0" applyProtection="0"/>
    <xf numFmtId="0" fontId="61" fillId="27" borderId="11">
      <alignment/>
      <protection locked="0"/>
    </xf>
    <xf numFmtId="0" fontId="61" fillId="27" borderId="11">
      <alignment vertical="center"/>
      <protection locked="0"/>
    </xf>
    <xf numFmtId="0" fontId="83" fillId="0" borderId="0">
      <alignment/>
      <protection/>
    </xf>
    <xf numFmtId="0" fontId="59" fillId="2" borderId="0" applyNumberFormat="0" applyBorder="0" applyAlignment="0" applyProtection="0"/>
    <xf numFmtId="0" fontId="0" fillId="0" borderId="0">
      <alignment/>
      <protection/>
    </xf>
    <xf numFmtId="0" fontId="61" fillId="27" borderId="11">
      <alignment vertical="center"/>
      <protection locked="0"/>
    </xf>
    <xf numFmtId="0" fontId="61" fillId="27" borderId="11">
      <alignment/>
      <protection locked="0"/>
    </xf>
    <xf numFmtId="0" fontId="61" fillId="27" borderId="11">
      <alignment vertical="center"/>
      <protection locked="0"/>
    </xf>
    <xf numFmtId="0" fontId="61" fillId="27" borderId="11">
      <alignment/>
      <protection locked="0"/>
    </xf>
    <xf numFmtId="0" fontId="61" fillId="27" borderId="11">
      <alignment vertical="center"/>
      <protection locked="0"/>
    </xf>
    <xf numFmtId="0" fontId="30" fillId="8" borderId="0" applyNumberFormat="0" applyBorder="0" applyAlignment="0" applyProtection="0"/>
    <xf numFmtId="0" fontId="61" fillId="27" borderId="11">
      <alignment/>
      <protection locked="0"/>
    </xf>
    <xf numFmtId="0" fontId="61" fillId="27" borderId="11">
      <alignment vertical="center"/>
      <protection locked="0"/>
    </xf>
    <xf numFmtId="0" fontId="0" fillId="0" borderId="0">
      <alignment vertical="center"/>
      <protection/>
    </xf>
    <xf numFmtId="0" fontId="61" fillId="27" borderId="11">
      <alignment/>
      <protection locked="0"/>
    </xf>
    <xf numFmtId="0" fontId="61" fillId="27" borderId="11">
      <alignment vertical="center"/>
      <protection locked="0"/>
    </xf>
    <xf numFmtId="0" fontId="61" fillId="27" borderId="11">
      <alignment/>
      <protection locked="0"/>
    </xf>
    <xf numFmtId="0" fontId="61" fillId="27" borderId="11">
      <alignment vertical="center"/>
      <protection locked="0"/>
    </xf>
    <xf numFmtId="0" fontId="21" fillId="2" borderId="0" applyNumberFormat="0" applyBorder="0" applyAlignment="0" applyProtection="0"/>
    <xf numFmtId="0" fontId="61" fillId="27" borderId="11">
      <alignment/>
      <protection locked="0"/>
    </xf>
    <xf numFmtId="0" fontId="61" fillId="27" borderId="11">
      <alignment vertical="center"/>
      <protection locked="0"/>
    </xf>
    <xf numFmtId="0" fontId="45" fillId="0" borderId="0" applyNumberFormat="0" applyFill="0" applyBorder="0" applyAlignment="0" applyProtection="0"/>
    <xf numFmtId="0" fontId="45" fillId="0" borderId="0" applyNumberFormat="0" applyFill="0" applyBorder="0" applyAlignment="0" applyProtection="0"/>
    <xf numFmtId="0" fontId="56" fillId="0" borderId="9" applyNumberFormat="0" applyFill="0" applyAlignment="0" applyProtection="0"/>
    <xf numFmtId="0" fontId="21" fillId="2" borderId="0" applyNumberFormat="0" applyBorder="0" applyAlignment="0" applyProtection="0"/>
    <xf numFmtId="0" fontId="30" fillId="8" borderId="0" applyNumberFormat="0" applyBorder="0" applyAlignment="0" applyProtection="0"/>
    <xf numFmtId="0" fontId="56" fillId="0" borderId="9" applyNumberFormat="0" applyFill="0" applyAlignment="0" applyProtection="0"/>
    <xf numFmtId="0" fontId="56" fillId="0" borderId="9" applyNumberFormat="0" applyFill="0" applyAlignment="0" applyProtection="0"/>
    <xf numFmtId="0" fontId="21" fillId="2" borderId="0" applyNumberFormat="0" applyBorder="0" applyAlignment="0" applyProtection="0"/>
    <xf numFmtId="0" fontId="56" fillId="0" borderId="9" applyNumberFormat="0" applyFill="0" applyAlignment="0" applyProtection="0"/>
    <xf numFmtId="0" fontId="5" fillId="2" borderId="0" applyNumberFormat="0" applyBorder="0" applyAlignment="0" applyProtection="0"/>
    <xf numFmtId="0" fontId="56" fillId="0" borderId="9" applyNumberFormat="0" applyFill="0" applyAlignment="0" applyProtection="0"/>
    <xf numFmtId="199" fontId="0" fillId="0" borderId="0" applyFont="0" applyFill="0" applyBorder="0" applyAlignment="0" applyProtection="0"/>
    <xf numFmtId="198" fontId="0" fillId="0" borderId="0" applyFont="0" applyFill="0" applyBorder="0" applyAlignment="0" applyProtection="0"/>
    <xf numFmtId="200" fontId="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1" fontId="1" fillId="0" borderId="10">
      <alignment vertical="center"/>
      <protection locked="0"/>
    </xf>
    <xf numFmtId="201" fontId="0" fillId="0" borderId="0" applyFont="0" applyFill="0" applyBorder="0" applyAlignment="0" applyProtection="0"/>
    <xf numFmtId="0" fontId="24" fillId="0" borderId="12" applyNumberFormat="0" applyFill="0" applyProtection="0">
      <alignment horizontal="right"/>
    </xf>
    <xf numFmtId="0" fontId="24" fillId="0" borderId="12" applyNumberFormat="0" applyFill="0" applyProtection="0">
      <alignment horizontal="right" vertical="center"/>
    </xf>
    <xf numFmtId="0" fontId="24" fillId="0" borderId="12" applyNumberFormat="0" applyFill="0" applyProtection="0">
      <alignment horizontal="right"/>
    </xf>
    <xf numFmtId="0" fontId="24" fillId="0" borderId="12" applyNumberFormat="0" applyFill="0" applyProtection="0">
      <alignment horizontal="right" vertical="center"/>
    </xf>
    <xf numFmtId="0" fontId="84" fillId="0" borderId="3" applyNumberFormat="0" applyFill="0" applyAlignment="0" applyProtection="0"/>
    <xf numFmtId="0" fontId="84" fillId="0" borderId="3" applyNumberFormat="0" applyFill="0" applyAlignment="0" applyProtection="0"/>
    <xf numFmtId="0" fontId="87" fillId="0" borderId="4" applyNumberFormat="0" applyFill="0" applyAlignment="0" applyProtection="0"/>
    <xf numFmtId="0" fontId="87" fillId="0" borderId="4" applyNumberFormat="0" applyFill="0" applyAlignment="0" applyProtection="0"/>
    <xf numFmtId="0" fontId="85" fillId="0" borderId="5" applyNumberFormat="0" applyFill="0" applyAlignment="0" applyProtection="0"/>
    <xf numFmtId="0" fontId="85" fillId="0" borderId="5" applyNumberFormat="0" applyFill="0" applyAlignment="0" applyProtection="0"/>
    <xf numFmtId="43" fontId="0" fillId="0" borderId="0" applyFont="0" applyFill="0" applyBorder="0" applyAlignment="0" applyProtection="0"/>
    <xf numFmtId="0" fontId="85" fillId="0" borderId="0" applyNumberFormat="0" applyFill="0" applyBorder="0" applyAlignment="0" applyProtection="0"/>
    <xf numFmtId="43" fontId="0" fillId="0" borderId="0" applyFont="0" applyFill="0" applyBorder="0" applyAlignment="0" applyProtection="0"/>
    <xf numFmtId="0" fontId="85" fillId="0" borderId="0" applyNumberFormat="0" applyFill="0" applyBorder="0" applyAlignment="0" applyProtection="0"/>
    <xf numFmtId="0" fontId="59" fillId="2" borderId="0" applyNumberFormat="0" applyBorder="0" applyAlignment="0" applyProtection="0"/>
    <xf numFmtId="0" fontId="45" fillId="0" borderId="0" applyNumberFormat="0" applyFill="0" applyBorder="0" applyAlignment="0" applyProtection="0"/>
    <xf numFmtId="0" fontId="59" fillId="2"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 fillId="20" borderId="0" applyNumberFormat="0" applyBorder="0" applyAlignment="0" applyProtection="0"/>
    <xf numFmtId="0" fontId="30" fillId="8" borderId="0" applyNumberFormat="0" applyBorder="0" applyAlignment="0" applyProtection="0"/>
    <xf numFmtId="0" fontId="86" fillId="0" borderId="12" applyNumberFormat="0" applyFill="0" applyProtection="0">
      <alignment horizontal="center"/>
    </xf>
    <xf numFmtId="0" fontId="5" fillId="20" borderId="0" applyNumberFormat="0" applyBorder="0" applyAlignment="0" applyProtection="0"/>
    <xf numFmtId="0" fontId="86" fillId="0" borderId="12" applyNumberFormat="0" applyFill="0" applyProtection="0">
      <alignment horizontal="center"/>
    </xf>
    <xf numFmtId="0" fontId="5" fillId="20" borderId="0" applyNumberFormat="0" applyBorder="0" applyAlignment="0" applyProtection="0"/>
    <xf numFmtId="0" fontId="86" fillId="0" borderId="12" applyNumberFormat="0" applyFill="0" applyProtection="0">
      <alignment horizontal="center" vertical="center"/>
    </xf>
    <xf numFmtId="0" fontId="63" fillId="0" borderId="0" applyNumberFormat="0" applyFill="0" applyBorder="0" applyAlignment="0" applyProtection="0"/>
    <xf numFmtId="0" fontId="88" fillId="0" borderId="17" applyNumberFormat="0" applyFill="0" applyProtection="0">
      <alignment horizontal="center"/>
    </xf>
    <xf numFmtId="0" fontId="88" fillId="0" borderId="17" applyNumberFormat="0" applyFill="0" applyProtection="0">
      <alignment horizontal="center"/>
    </xf>
    <xf numFmtId="0" fontId="59" fillId="2" borderId="0" applyNumberFormat="0" applyBorder="0" applyAlignment="0" applyProtection="0"/>
    <xf numFmtId="0" fontId="88" fillId="0" borderId="17" applyNumberFormat="0" applyFill="0" applyProtection="0">
      <alignment horizontal="center" vertical="center"/>
    </xf>
    <xf numFmtId="0" fontId="35" fillId="8" borderId="0" applyNumberFormat="0" applyBorder="0" applyAlignment="0" applyProtection="0"/>
    <xf numFmtId="0" fontId="35" fillId="8"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51" fillId="17" borderId="0" applyNumberFormat="0" applyBorder="0" applyAlignment="0" applyProtection="0"/>
    <xf numFmtId="0" fontId="30" fillId="8" borderId="0" applyNumberFormat="0" applyBorder="0" applyAlignment="0" applyProtection="0"/>
    <xf numFmtId="0" fontId="51" fillId="17" borderId="0" applyNumberFormat="0" applyBorder="0" applyAlignment="0" applyProtection="0"/>
    <xf numFmtId="0" fontId="30" fillId="8"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0" fillId="0" borderId="0">
      <alignment vertical="center"/>
      <protection/>
    </xf>
    <xf numFmtId="0" fontId="21" fillId="2" borderId="0" applyNumberFormat="0" applyBorder="0" applyAlignment="0" applyProtection="0"/>
    <xf numFmtId="0" fontId="51" fillId="17" borderId="0" applyNumberFormat="0" applyBorder="0" applyAlignment="0" applyProtection="0"/>
    <xf numFmtId="0" fontId="21" fillId="2" borderId="0" applyNumberFormat="0" applyBorder="0" applyAlignment="0" applyProtection="0"/>
    <xf numFmtId="0" fontId="51" fillId="17" borderId="0" applyNumberFormat="0" applyBorder="0" applyAlignment="0" applyProtection="0"/>
    <xf numFmtId="0" fontId="57"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89" fillId="0" borderId="0">
      <alignment/>
      <protection/>
    </xf>
    <xf numFmtId="0" fontId="51"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8"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8" fillId="20" borderId="0" applyNumberFormat="0" applyBorder="0" applyAlignment="0" applyProtection="0"/>
    <xf numFmtId="0" fontId="30" fillId="8" borderId="0" applyNumberFormat="0" applyBorder="0" applyAlignment="0" applyProtection="0"/>
    <xf numFmtId="0" fontId="38" fillId="20" borderId="0" applyNumberFormat="0" applyBorder="0" applyAlignment="0" applyProtection="0"/>
    <xf numFmtId="0" fontId="30"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5"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5" fillId="8" borderId="0" applyNumberFormat="0" applyBorder="0" applyAlignment="0" applyProtection="0"/>
    <xf numFmtId="0" fontId="30" fillId="8" borderId="0" applyNumberFormat="0" applyBorder="0" applyAlignment="0" applyProtection="0"/>
    <xf numFmtId="0" fontId="65" fillId="6" borderId="1" applyNumberFormat="0" applyAlignment="0" applyProtection="0"/>
    <xf numFmtId="0" fontId="30" fillId="8" borderId="0" applyNumberFormat="0" applyBorder="0" applyAlignment="0" applyProtection="0"/>
    <xf numFmtId="1" fontId="24" fillId="0" borderId="17" applyFill="0" applyProtection="0">
      <alignment horizontal="center" vertical="center"/>
    </xf>
    <xf numFmtId="0" fontId="30" fillId="8" borderId="0" applyNumberFormat="0" applyBorder="0" applyAlignment="0" applyProtection="0"/>
    <xf numFmtId="0" fontId="90" fillId="6" borderId="6" applyNumberFormat="0" applyAlignment="0" applyProtection="0"/>
    <xf numFmtId="0" fontId="21" fillId="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96" fillId="0" borderId="0">
      <alignment vertical="center"/>
      <protection/>
    </xf>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0" fillId="0" borderId="0">
      <alignment/>
      <protection/>
    </xf>
    <xf numFmtId="0" fontId="30" fillId="8" borderId="0" applyNumberFormat="0" applyBorder="0" applyAlignment="0" applyProtection="0"/>
    <xf numFmtId="0" fontId="0" fillId="0" borderId="0">
      <alignment vertical="center"/>
      <protection/>
    </xf>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54" fillId="14"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1" fillId="2" borderId="0" applyNumberFormat="0" applyBorder="0" applyAlignment="0" applyProtection="0"/>
    <xf numFmtId="0" fontId="38" fillId="20" borderId="0" applyNumberFormat="0" applyBorder="0" applyAlignment="0" applyProtection="0"/>
    <xf numFmtId="0" fontId="30" fillId="8" borderId="0" applyNumberFormat="0" applyBorder="0" applyAlignment="0" applyProtection="0"/>
    <xf numFmtId="0" fontId="38" fillId="20"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0" fillId="0" borderId="0">
      <alignment vertical="center"/>
      <protection/>
    </xf>
    <xf numFmtId="0" fontId="30" fillId="8" borderId="0" applyNumberFormat="0" applyBorder="0" applyAlignment="0" applyProtection="0"/>
    <xf numFmtId="0" fontId="0" fillId="0" borderId="0">
      <alignment/>
      <protection/>
    </xf>
    <xf numFmtId="0" fontId="30" fillId="8" borderId="0" applyNumberFormat="0" applyBorder="0" applyAlignment="0" applyProtection="0"/>
    <xf numFmtId="0" fontId="0" fillId="0" borderId="0">
      <alignment vertical="center"/>
      <protection/>
    </xf>
    <xf numFmtId="0" fontId="30" fillId="8" borderId="0" applyNumberFormat="0" applyBorder="0" applyAlignment="0" applyProtection="0"/>
    <xf numFmtId="0" fontId="30"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14" fillId="0" borderId="0">
      <alignment vertical="center"/>
      <protection/>
    </xf>
    <xf numFmtId="0" fontId="0" fillId="0" borderId="0">
      <alignment vertical="center"/>
      <protection/>
    </xf>
    <xf numFmtId="0" fontId="57"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0" fillId="0" borderId="0">
      <alignment/>
      <protection/>
    </xf>
    <xf numFmtId="0" fontId="51" fillId="8"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66" fillId="17" borderId="0" applyNumberFormat="0" applyBorder="0" applyAlignment="0" applyProtection="0"/>
    <xf numFmtId="0" fontId="30" fillId="8" borderId="0" applyNumberFormat="0" applyBorder="0" applyAlignment="0" applyProtection="0"/>
    <xf numFmtId="0" fontId="66" fillId="17"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66" fillId="17" borderId="0" applyNumberFormat="0" applyBorder="0" applyAlignment="0" applyProtection="0"/>
    <xf numFmtId="0" fontId="21" fillId="2" borderId="0" applyNumberFormat="0" applyBorder="0" applyAlignment="0" applyProtection="0"/>
    <xf numFmtId="0" fontId="7" fillId="8" borderId="0" applyNumberFormat="0" applyBorder="0" applyAlignment="0" applyProtection="0"/>
    <xf numFmtId="0" fontId="21" fillId="2" borderId="0" applyNumberFormat="0" applyBorder="0" applyAlignment="0" applyProtection="0"/>
    <xf numFmtId="0" fontId="7" fillId="8"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71" fillId="0" borderId="9" applyNumberFormat="0" applyFill="0" applyAlignment="0" applyProtection="0"/>
    <xf numFmtId="0" fontId="57" fillId="17" borderId="0" applyNumberFormat="0" applyBorder="0" applyAlignment="0" applyProtection="0"/>
    <xf numFmtId="0" fontId="51"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 fillId="2" borderId="0" applyNumberFormat="0" applyBorder="0" applyAlignment="0" applyProtection="0"/>
    <xf numFmtId="0" fontId="57" fillId="1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0" fillId="0" borderId="0">
      <alignment vertical="center"/>
      <protection/>
    </xf>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0" fillId="8" borderId="0" applyNumberFormat="0" applyBorder="0" applyAlignment="0" applyProtection="0"/>
    <xf numFmtId="0" fontId="46" fillId="3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43" fontId="0" fillId="0" borderId="0" applyFont="0" applyFill="0" applyBorder="0" applyAlignment="0" applyProtection="0"/>
    <xf numFmtId="0" fontId="35" fillId="8" borderId="0" applyNumberFormat="0" applyBorder="0" applyAlignment="0" applyProtection="0"/>
    <xf numFmtId="0" fontId="35" fillId="8" borderId="0" applyNumberFormat="0" applyBorder="0" applyAlignment="0" applyProtection="0"/>
    <xf numFmtId="202" fontId="24" fillId="0" borderId="17" applyFill="0" applyProtection="0">
      <alignment horizontal="right"/>
    </xf>
    <xf numFmtId="0" fontId="30" fillId="8" borderId="0" applyNumberFormat="0" applyBorder="0" applyAlignment="0" applyProtection="0"/>
    <xf numFmtId="0" fontId="30" fillId="8" borderId="0" applyNumberFormat="0" applyBorder="0" applyAlignment="0" applyProtection="0"/>
    <xf numFmtId="0" fontId="0" fillId="0" borderId="0">
      <alignment vertical="center"/>
      <protection/>
    </xf>
    <xf numFmtId="0" fontId="30" fillId="8"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1" fillId="2" borderId="0" applyNumberFormat="0" applyBorder="0" applyAlignment="0" applyProtection="0"/>
    <xf numFmtId="0" fontId="7" fillId="8" borderId="0" applyNumberFormat="0" applyBorder="0" applyAlignment="0" applyProtection="0"/>
    <xf numFmtId="0" fontId="30" fillId="1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0" fillId="8" borderId="0" applyNumberFormat="0" applyBorder="0" applyAlignment="0" applyProtection="0"/>
    <xf numFmtId="0" fontId="35" fillId="8" borderId="0" applyNumberFormat="0" applyBorder="0" applyAlignment="0" applyProtection="0"/>
    <xf numFmtId="0" fontId="21" fillId="20" borderId="0" applyNumberFormat="0" applyBorder="0" applyAlignment="0" applyProtection="0"/>
    <xf numFmtId="0" fontId="35"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202" fontId="24" fillId="0" borderId="17" applyFill="0" applyProtection="0">
      <alignment horizontal="right"/>
    </xf>
    <xf numFmtId="0" fontId="30" fillId="8" borderId="0" applyNumberFormat="0" applyBorder="0" applyAlignment="0" applyProtection="0"/>
    <xf numFmtId="202" fontId="24" fillId="0" borderId="17" applyFill="0" applyProtection="0">
      <alignment horizontal="right" vertical="center"/>
    </xf>
    <xf numFmtId="0" fontId="30" fillId="8" borderId="0" applyNumberFormat="0" applyBorder="0" applyAlignment="0" applyProtection="0"/>
    <xf numFmtId="0" fontId="30" fillId="8" borderId="0" applyNumberFormat="0" applyBorder="0" applyAlignment="0" applyProtection="0"/>
    <xf numFmtId="0" fontId="21" fillId="20" borderId="0" applyNumberFormat="0" applyBorder="0" applyAlignment="0" applyProtection="0"/>
    <xf numFmtId="0" fontId="30" fillId="8" borderId="0" applyNumberFormat="0" applyBorder="0" applyAlignment="0" applyProtection="0"/>
    <xf numFmtId="0" fontId="0" fillId="0" borderId="0">
      <alignment vertical="center"/>
      <protection/>
    </xf>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91" fillId="0" borderId="8" applyNumberFormat="0" applyFill="0" applyAlignment="0" applyProtection="0"/>
    <xf numFmtId="44" fontId="0" fillId="0" borderId="0" applyFont="0" applyFill="0" applyBorder="0" applyAlignment="0" applyProtection="0"/>
    <xf numFmtId="0" fontId="30" fillId="8" borderId="0" applyNumberFormat="0" applyBorder="0" applyAlignment="0" applyProtection="0"/>
    <xf numFmtId="0" fontId="30" fillId="8" borderId="0" applyNumberFormat="0" applyBorder="0" applyAlignment="0" applyProtection="0"/>
    <xf numFmtId="0" fontId="0" fillId="0" borderId="0">
      <alignment vertical="center"/>
      <protection/>
    </xf>
    <xf numFmtId="0" fontId="30" fillId="8" borderId="0" applyNumberFormat="0" applyBorder="0" applyAlignment="0" applyProtection="0"/>
    <xf numFmtId="0" fontId="21" fillId="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90" fillId="6" borderId="6" applyNumberFormat="0" applyAlignment="0" applyProtection="0"/>
    <xf numFmtId="0" fontId="30" fillId="8" borderId="0" applyNumberFormat="0" applyBorder="0" applyAlignment="0" applyProtection="0"/>
    <xf numFmtId="0" fontId="30" fillId="8" borderId="0" applyNumberFormat="0" applyBorder="0" applyAlignment="0" applyProtection="0"/>
    <xf numFmtId="0" fontId="21" fillId="2" borderId="0" applyNumberFormat="0" applyBorder="0" applyAlignment="0" applyProtection="0"/>
    <xf numFmtId="0" fontId="30" fillId="17" borderId="0" applyNumberFormat="0" applyBorder="0" applyAlignment="0" applyProtection="0"/>
    <xf numFmtId="0" fontId="21" fillId="2"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1" fillId="20" borderId="0" applyNumberFormat="0" applyBorder="0" applyAlignment="0" applyProtection="0"/>
    <xf numFmtId="0" fontId="35" fillId="8" borderId="0" applyNumberFormat="0" applyBorder="0" applyAlignment="0" applyProtection="0"/>
    <xf numFmtId="0" fontId="21" fillId="20" borderId="0" applyNumberFormat="0" applyBorder="0" applyAlignment="0" applyProtection="0"/>
    <xf numFmtId="0" fontId="35" fillId="8" borderId="0" applyNumberFormat="0" applyBorder="0" applyAlignment="0" applyProtection="0"/>
    <xf numFmtId="0" fontId="46" fillId="33" borderId="0" applyNumberFormat="0" applyBorder="0" applyAlignment="0" applyProtection="0"/>
    <xf numFmtId="0" fontId="5" fillId="20" borderId="0" applyNumberFormat="0" applyBorder="0" applyAlignment="0" applyProtection="0"/>
    <xf numFmtId="0" fontId="30" fillId="8" borderId="0" applyNumberFormat="0" applyBorder="0" applyAlignment="0" applyProtection="0"/>
    <xf numFmtId="0" fontId="5" fillId="20"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0" fillId="0" borderId="0" applyNumberFormat="0" applyFill="0" applyBorder="0" applyAlignment="0" applyProtection="0"/>
    <xf numFmtId="0" fontId="30" fillId="8" borderId="0" applyNumberFormat="0" applyBorder="0" applyAlignment="0" applyProtection="0"/>
    <xf numFmtId="0" fontId="0" fillId="0" borderId="0">
      <alignment vertical="center"/>
      <protection/>
    </xf>
    <xf numFmtId="0" fontId="0" fillId="0" borderId="0">
      <alignment vertical="center"/>
      <protection/>
    </xf>
    <xf numFmtId="0" fontId="30" fillId="8" borderId="0" applyNumberFormat="0" applyBorder="0" applyAlignment="0" applyProtection="0"/>
    <xf numFmtId="0" fontId="0" fillId="0" borderId="0">
      <alignment vertical="center"/>
      <protection/>
    </xf>
    <xf numFmtId="0" fontId="30" fillId="8" borderId="0" applyNumberFormat="0" applyBorder="0" applyAlignment="0" applyProtection="0"/>
    <xf numFmtId="0" fontId="30" fillId="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21" fillId="2" borderId="0" applyNumberFormat="0" applyBorder="0" applyAlignment="0" applyProtection="0"/>
    <xf numFmtId="0" fontId="35" fillId="8" borderId="0" applyNumberFormat="0" applyBorder="0" applyAlignment="0" applyProtection="0"/>
    <xf numFmtId="0" fontId="21" fillId="2" borderId="0" applyNumberFormat="0" applyBorder="0" applyAlignment="0" applyProtection="0"/>
    <xf numFmtId="0" fontId="35" fillId="8" borderId="0" applyNumberFormat="0" applyBorder="0" applyAlignment="0" applyProtection="0"/>
    <xf numFmtId="0" fontId="21" fillId="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1" fillId="20"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77"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96" fillId="0" borderId="0">
      <alignment vertical="center"/>
      <protection/>
    </xf>
    <xf numFmtId="0" fontId="0" fillId="0" borderId="0">
      <alignment/>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9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96" fillId="0" borderId="0">
      <alignment vertical="center"/>
      <protection/>
    </xf>
    <xf numFmtId="0" fontId="0" fillId="0" borderId="0">
      <alignment/>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96" fillId="0" borderId="0">
      <alignment vertical="center"/>
      <protection/>
    </xf>
    <xf numFmtId="0" fontId="0" fillId="0" borderId="0">
      <alignment/>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4" fillId="5" borderId="0" applyNumberFormat="0" applyBorder="0" applyAlignment="0" applyProtection="0"/>
    <xf numFmtId="0" fontId="0" fillId="0" borderId="0">
      <alignment vertical="center"/>
      <protection/>
    </xf>
    <xf numFmtId="0" fontId="0" fillId="0" borderId="0">
      <alignment/>
      <protection/>
    </xf>
    <xf numFmtId="0" fontId="14"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90" fillId="6" borderId="6"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1" fillId="2" borderId="0" applyNumberFormat="0" applyBorder="0" applyAlignment="0" applyProtection="0"/>
    <xf numFmtId="0" fontId="0" fillId="0" borderId="0">
      <alignment vertical="center"/>
      <protection/>
    </xf>
    <xf numFmtId="0" fontId="60" fillId="3" borderId="1" applyNumberFormat="0" applyAlignment="0" applyProtection="0"/>
    <xf numFmtId="0" fontId="14" fillId="0" borderId="0">
      <alignment vertical="center"/>
      <protection/>
    </xf>
    <xf numFmtId="0" fontId="60" fillId="3" borderId="1" applyNumberFormat="0" applyAlignment="0" applyProtection="0"/>
    <xf numFmtId="0" fontId="14" fillId="0" borderId="0">
      <alignment vertical="center"/>
      <protection/>
    </xf>
    <xf numFmtId="0" fontId="60" fillId="3" borderId="1" applyNumberFormat="0" applyAlignment="0" applyProtection="0"/>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4" fillId="0" borderId="0">
      <alignment vertical="center"/>
      <protection/>
    </xf>
    <xf numFmtId="0" fontId="96" fillId="0" borderId="0">
      <alignment vertical="center"/>
      <protection/>
    </xf>
    <xf numFmtId="0" fontId="14" fillId="0" borderId="0">
      <alignment vertical="center"/>
      <protection/>
    </xf>
    <xf numFmtId="0" fontId="96" fillId="0" borderId="0">
      <alignment vertical="center"/>
      <protection/>
    </xf>
    <xf numFmtId="0" fontId="96" fillId="0" borderId="0">
      <alignment vertical="center"/>
      <protection/>
    </xf>
    <xf numFmtId="0" fontId="96"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24"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14" fillId="0" borderId="0">
      <alignment vertical="center"/>
      <protection/>
    </xf>
    <xf numFmtId="0" fontId="96"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4" fillId="0" borderId="0">
      <alignment vertical="center"/>
      <protection/>
    </xf>
    <xf numFmtId="0" fontId="0" fillId="0" borderId="0">
      <alignment vertical="center"/>
      <protection/>
    </xf>
    <xf numFmtId="0" fontId="8" fillId="0" borderId="0">
      <alignment vertical="center"/>
      <protection/>
    </xf>
    <xf numFmtId="0" fontId="0" fillId="0" borderId="0">
      <alignment/>
      <protection/>
    </xf>
    <xf numFmtId="0" fontId="8" fillId="0" borderId="0">
      <alignment/>
      <protection/>
    </xf>
    <xf numFmtId="0" fontId="8" fillId="0" borderId="0">
      <alignment vertical="center"/>
      <protection/>
    </xf>
    <xf numFmtId="0" fontId="0" fillId="0" borderId="0">
      <alignment vertical="center"/>
      <protection/>
    </xf>
    <xf numFmtId="177"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0" borderId="0" applyNumberFormat="0" applyBorder="0" applyAlignment="0" applyProtection="0"/>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8" fillId="20" borderId="0" applyNumberFormat="0" applyBorder="0" applyAlignment="0" applyProtection="0"/>
    <xf numFmtId="0" fontId="0" fillId="0" borderId="0">
      <alignment vertical="center"/>
      <protection/>
    </xf>
    <xf numFmtId="0" fontId="38"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8"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8" fillId="0" borderId="0">
      <alignment/>
      <protection/>
    </xf>
    <xf numFmtId="0" fontId="21" fillId="2" borderId="0" applyNumberFormat="0" applyBorder="0" applyAlignment="0" applyProtection="0"/>
    <xf numFmtId="0" fontId="32" fillId="0" borderId="0" applyNumberFormat="0" applyFill="0" applyBorder="0" applyAlignment="0" applyProtection="0"/>
    <xf numFmtId="0" fontId="21" fillId="2" borderId="0" applyNumberFormat="0" applyBorder="0" applyAlignment="0" applyProtection="0"/>
    <xf numFmtId="0" fontId="58" fillId="0" borderId="0" applyNumberFormat="0" applyFill="0" applyBorder="0" applyAlignment="0" applyProtection="0"/>
    <xf numFmtId="0" fontId="5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46"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203" fontId="0" fillId="0" borderId="0" applyFont="0" applyFill="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8" fillId="20" borderId="0" applyNumberFormat="0" applyBorder="0" applyAlignment="0" applyProtection="0"/>
    <xf numFmtId="0" fontId="59" fillId="2" borderId="0" applyNumberFormat="0" applyBorder="0" applyAlignment="0" applyProtection="0"/>
    <xf numFmtId="0" fontId="38" fillId="20" borderId="0" applyNumberFormat="0" applyBorder="0" applyAlignment="0" applyProtection="0"/>
    <xf numFmtId="0" fontId="59" fillId="2"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1" fontId="24" fillId="0" borderId="17" applyFill="0" applyProtection="0">
      <alignment horizontal="center" vertical="center"/>
    </xf>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0" fillId="0" borderId="0">
      <alignment vertical="center"/>
      <protection/>
    </xf>
    <xf numFmtId="0" fontId="21" fillId="2" borderId="0" applyNumberFormat="0" applyBorder="0" applyAlignment="0" applyProtection="0"/>
    <xf numFmtId="0" fontId="0"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8" fillId="2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44" fontId="0"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1" fillId="20" borderId="0" applyNumberFormat="0" applyBorder="0" applyAlignment="0" applyProtection="0"/>
    <xf numFmtId="0" fontId="5" fillId="2"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22" borderId="0" applyNumberFormat="0" applyBorder="0" applyAlignment="0" applyProtection="0"/>
    <xf numFmtId="0" fontId="38" fillId="20" borderId="0" applyNumberFormat="0" applyBorder="0" applyAlignment="0" applyProtection="0"/>
    <xf numFmtId="0" fontId="54" fillId="22"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43" fontId="14" fillId="0" borderId="0" applyFont="0" applyFill="0" applyBorder="0" applyAlignment="0" applyProtection="0"/>
    <xf numFmtId="0" fontId="21" fillId="2"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8"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41" fillId="0" borderId="0" applyNumberFormat="0" applyFill="0" applyBorder="0" applyAlignment="0" applyProtection="0"/>
    <xf numFmtId="0" fontId="21" fillId="20" borderId="0" applyNumberFormat="0" applyBorder="0" applyAlignment="0" applyProtection="0"/>
    <xf numFmtId="0" fontId="41" fillId="0" borderId="0" applyNumberFormat="0" applyFill="0" applyBorder="0" applyAlignment="0" applyProtection="0"/>
    <xf numFmtId="0" fontId="21" fillId="20" borderId="0" applyNumberFormat="0" applyBorder="0" applyAlignment="0" applyProtection="0"/>
    <xf numFmtId="0" fontId="5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85" fontId="0" fillId="0" borderId="0" applyFon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1" fillId="0" borderId="9" applyNumberFormat="0" applyFill="0" applyAlignment="0" applyProtection="0"/>
    <xf numFmtId="0" fontId="21"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21" fillId="2" borderId="0" applyNumberFormat="0" applyBorder="0" applyAlignment="0" applyProtection="0"/>
    <xf numFmtId="0" fontId="0"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44" fontId="0" fillId="0" borderId="0" applyFont="0" applyFill="0" applyBorder="0" applyAlignment="0" applyProtection="0"/>
    <xf numFmtId="0" fontId="59" fillId="2" borderId="0" applyNumberFormat="0" applyBorder="0" applyAlignment="0" applyProtection="0"/>
    <xf numFmtId="44" fontId="0" fillId="0" borderId="0" applyFont="0" applyFill="0" applyBorder="0" applyAlignment="0" applyProtection="0"/>
    <xf numFmtId="0" fontId="5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5" fillId="6" borderId="1" applyNumberFormat="0" applyAlignment="0" applyProtection="0"/>
    <xf numFmtId="0" fontId="65" fillId="6" borderId="1" applyNumberFormat="0" applyAlignment="0" applyProtection="0"/>
    <xf numFmtId="0" fontId="65" fillId="6" borderId="1" applyNumberFormat="0" applyAlignment="0" applyProtection="0"/>
    <xf numFmtId="0" fontId="65" fillId="6" borderId="1" applyNumberFormat="0" applyAlignment="0" applyProtection="0"/>
    <xf numFmtId="0" fontId="73" fillId="9" borderId="7" applyNumberFormat="0" applyAlignment="0" applyProtection="0"/>
    <xf numFmtId="0" fontId="73" fillId="9" borderId="7" applyNumberFormat="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8" fillId="0" borderId="17" applyNumberFormat="0" applyFill="0" applyProtection="0">
      <alignment horizontal="left"/>
    </xf>
    <xf numFmtId="0" fontId="88" fillId="0" borderId="17" applyNumberFormat="0" applyFill="0" applyProtection="0">
      <alignment horizontal="left"/>
    </xf>
    <xf numFmtId="0" fontId="88" fillId="0" borderId="17" applyNumberFormat="0" applyFill="0" applyProtection="0">
      <alignment horizontal="left" vertical="center"/>
    </xf>
    <xf numFmtId="0" fontId="91" fillId="0" borderId="8" applyNumberFormat="0" applyFill="0" applyAlignment="0" applyProtection="0"/>
    <xf numFmtId="186" fontId="0" fillId="0" borderId="0" applyFont="0" applyFill="0" applyBorder="0" applyAlignment="0" applyProtection="0"/>
    <xf numFmtId="204" fontId="0" fillId="0" borderId="0" applyFont="0" applyFill="0" applyBorder="0" applyAlignment="0" applyProtection="0"/>
    <xf numFmtId="184" fontId="0" fillId="0" borderId="0" applyFont="0" applyFill="0" applyBorder="0" applyAlignment="0" applyProtection="0"/>
    <xf numFmtId="0" fontId="67" fillId="0" borderId="0">
      <alignment/>
      <protection/>
    </xf>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3" fillId="0" borderId="0">
      <alignment/>
      <protection/>
    </xf>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54" fillId="5" borderId="0" applyNumberFormat="0" applyBorder="0" applyAlignment="0" applyProtection="0"/>
    <xf numFmtId="0" fontId="54" fillId="18" borderId="0" applyNumberFormat="0" applyBorder="0" applyAlignment="0" applyProtection="0"/>
    <xf numFmtId="0" fontId="54" fillId="14" borderId="0" applyNumberFormat="0" applyBorder="0" applyAlignment="0" applyProtection="0"/>
    <xf numFmtId="0" fontId="54" fillId="4" borderId="0" applyNumberFormat="0" applyBorder="0" applyAlignment="0" applyProtection="0"/>
    <xf numFmtId="202" fontId="24" fillId="0" borderId="17" applyFill="0" applyProtection="0">
      <alignment horizontal="right" vertical="center"/>
    </xf>
    <xf numFmtId="0" fontId="24" fillId="0" borderId="12" applyNumberFormat="0" applyFill="0" applyProtection="0">
      <alignment horizontal="left"/>
    </xf>
    <xf numFmtId="0" fontId="24" fillId="0" borderId="12" applyNumberFormat="0" applyFill="0" applyProtection="0">
      <alignment horizontal="left" vertical="center"/>
    </xf>
    <xf numFmtId="0" fontId="24" fillId="0" borderId="12" applyNumberFormat="0" applyFill="0" applyProtection="0">
      <alignment horizontal="left"/>
    </xf>
    <xf numFmtId="0" fontId="77" fillId="19" borderId="0" applyNumberFormat="0" applyBorder="0" applyAlignment="0" applyProtection="0"/>
    <xf numFmtId="0" fontId="90" fillId="6" borderId="6" applyNumberFormat="0" applyAlignment="0" applyProtection="0"/>
    <xf numFmtId="0" fontId="90" fillId="6" borderId="6" applyNumberFormat="0" applyAlignment="0" applyProtection="0"/>
    <xf numFmtId="0" fontId="90" fillId="6" borderId="6" applyNumberFormat="0" applyAlignment="0" applyProtection="0"/>
    <xf numFmtId="1" fontId="24" fillId="0" borderId="17" applyFill="0" applyProtection="0">
      <alignment horizontal="center"/>
    </xf>
    <xf numFmtId="1" fontId="24" fillId="0" borderId="17" applyFill="0" applyProtection="0">
      <alignment horizontal="center"/>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0" fontId="0" fillId="0" borderId="0">
      <alignment vertical="center"/>
      <protection/>
    </xf>
    <xf numFmtId="0" fontId="0" fillId="0" borderId="0">
      <alignment vertical="center"/>
      <protection/>
    </xf>
    <xf numFmtId="0" fontId="69" fillId="0" borderId="0">
      <alignment/>
      <protection/>
    </xf>
    <xf numFmtId="0" fontId="69" fillId="0" borderId="0">
      <alignment vertical="center"/>
      <protection/>
    </xf>
    <xf numFmtId="0" fontId="69" fillId="0" borderId="0">
      <alignment/>
      <protection/>
    </xf>
    <xf numFmtId="178" fontId="1" fillId="0" borderId="10">
      <alignment vertical="center"/>
      <protection locked="0"/>
    </xf>
    <xf numFmtId="178" fontId="1" fillId="0" borderId="10">
      <alignment vertical="center"/>
      <protection locked="0"/>
    </xf>
    <xf numFmtId="178" fontId="1" fillId="0" borderId="10">
      <alignment vertical="center"/>
      <protection locked="0"/>
    </xf>
    <xf numFmtId="178" fontId="1" fillId="0" borderId="10">
      <alignment vertical="center"/>
      <protection locked="0"/>
    </xf>
    <xf numFmtId="0" fontId="34" fillId="0" borderId="0">
      <alignment vertical="top"/>
      <protection/>
    </xf>
    <xf numFmtId="0" fontId="34" fillId="0" borderId="0">
      <alignment vertical="top"/>
      <protection/>
    </xf>
    <xf numFmtId="0" fontId="94" fillId="0" borderId="0">
      <alignment/>
      <protection/>
    </xf>
    <xf numFmtId="0" fontId="74"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1" borderId="2" applyNumberFormat="0" applyFont="0" applyAlignment="0" applyProtection="0"/>
    <xf numFmtId="0" fontId="0" fillId="11" borderId="2" applyNumberFormat="0" applyFont="0" applyAlignment="0" applyProtection="0"/>
    <xf numFmtId="0" fontId="0" fillId="11" borderId="2" applyNumberFormat="0" applyFont="0" applyAlignment="0" applyProtection="0"/>
    <xf numFmtId="0" fontId="0" fillId="11" borderId="2" applyNumberFormat="0" applyFont="0" applyAlignment="0" applyProtection="0"/>
    <xf numFmtId="0" fontId="0" fillId="11" borderId="2" applyNumberFormat="0" applyFont="0" applyAlignment="0" applyProtection="0"/>
    <xf numFmtId="0" fontId="0" fillId="11" borderId="2" applyNumberFormat="0" applyFont="0" applyAlignment="0" applyProtection="0"/>
  </cellStyleXfs>
  <cellXfs count="346">
    <xf numFmtId="0" fontId="0" fillId="0" borderId="0" xfId="0" applyAlignment="1">
      <alignment vertical="center"/>
    </xf>
    <xf numFmtId="0" fontId="1" fillId="0" borderId="0" xfId="1475" applyFont="1" applyFill="1" applyAlignment="1">
      <alignment vertical="center"/>
      <protection/>
    </xf>
    <xf numFmtId="0" fontId="1" fillId="0" borderId="0" xfId="1475" applyFont="1" applyFill="1" applyAlignment="1">
      <alignment horizontal="center" vertical="center" wrapText="1"/>
      <protection/>
    </xf>
    <xf numFmtId="0" fontId="0" fillId="0" borderId="0" xfId="1475" applyFont="1" applyFill="1" applyAlignment="1">
      <alignment vertical="center"/>
      <protection/>
    </xf>
    <xf numFmtId="0" fontId="0" fillId="0" borderId="0" xfId="1475" applyFill="1" applyAlignment="1">
      <alignment vertical="center"/>
      <protection/>
    </xf>
    <xf numFmtId="0" fontId="2" fillId="0" borderId="0" xfId="1475" applyFont="1" applyFill="1" applyAlignment="1">
      <alignment horizontal="center" vertical="center" wrapText="1"/>
      <protection/>
    </xf>
    <xf numFmtId="0" fontId="1" fillId="0" borderId="18" xfId="1475" applyFont="1" applyFill="1" applyBorder="1" applyAlignment="1">
      <alignment horizontal="left" vertical="center" wrapText="1"/>
      <protection/>
    </xf>
    <xf numFmtId="0" fontId="1" fillId="0" borderId="0" xfId="1475" applyFont="1" applyFill="1" applyBorder="1" applyAlignment="1">
      <alignment horizontal="left" vertical="center" wrapText="1"/>
      <protection/>
    </xf>
    <xf numFmtId="0" fontId="3" fillId="0" borderId="0" xfId="1475" applyFont="1" applyFill="1" applyAlignment="1">
      <alignment horizontal="center" vertical="center" wrapText="1"/>
      <protection/>
    </xf>
    <xf numFmtId="0" fontId="1" fillId="0" borderId="0" xfId="1475" applyFont="1" applyFill="1" applyBorder="1" applyAlignment="1">
      <alignment horizontal="right" vertical="center" wrapText="1"/>
      <protection/>
    </xf>
    <xf numFmtId="0" fontId="1" fillId="0" borderId="10" xfId="1475" applyFont="1" applyFill="1" applyBorder="1" applyAlignment="1">
      <alignment horizontal="center" vertical="center" wrapText="1"/>
      <protection/>
    </xf>
    <xf numFmtId="0" fontId="1" fillId="0" borderId="10" xfId="1475" applyFont="1" applyFill="1" applyBorder="1" applyAlignment="1">
      <alignment vertical="center" wrapText="1"/>
      <protection/>
    </xf>
    <xf numFmtId="0" fontId="4" fillId="0" borderId="10" xfId="1475" applyFont="1" applyFill="1" applyBorder="1" applyAlignment="1">
      <alignment horizontal="justify" vertical="center" wrapText="1"/>
      <protection/>
    </xf>
    <xf numFmtId="0" fontId="4" fillId="0" borderId="10" xfId="1475" applyFont="1" applyFill="1" applyBorder="1" applyAlignment="1">
      <alignment vertical="center" wrapText="1"/>
      <protection/>
    </xf>
    <xf numFmtId="0" fontId="1" fillId="0" borderId="10" xfId="1475" applyFont="1" applyFill="1" applyBorder="1" applyAlignment="1">
      <alignment horizontal="left" vertical="center" wrapText="1"/>
      <protection/>
    </xf>
    <xf numFmtId="0" fontId="1" fillId="0" borderId="10" xfId="1475" applyFont="1" applyFill="1" applyBorder="1" applyAlignment="1">
      <alignment horizontal="right" vertical="center" wrapText="1"/>
      <protection/>
    </xf>
    <xf numFmtId="0" fontId="1" fillId="0" borderId="10" xfId="1475" applyFont="1" applyBorder="1" applyAlignment="1">
      <alignment horizontal="center" vertical="center"/>
      <protection/>
    </xf>
    <xf numFmtId="0" fontId="0" fillId="0" borderId="0" xfId="1475" applyFont="1" applyFill="1" applyAlignment="1">
      <alignment horizontal="center" vertical="center" wrapText="1"/>
      <protection/>
    </xf>
    <xf numFmtId="0" fontId="0" fillId="0" borderId="0" xfId="1475" applyFill="1" applyAlignment="1">
      <alignment horizontal="center" vertical="center" wrapText="1"/>
      <protection/>
    </xf>
    <xf numFmtId="0" fontId="5" fillId="0" borderId="0" xfId="1475" applyFont="1" applyFill="1" applyAlignment="1">
      <alignment vertical="center"/>
      <protection/>
    </xf>
    <xf numFmtId="0" fontId="6" fillId="0" borderId="0" xfId="1475" applyFont="1" applyFill="1" applyAlignment="1">
      <alignment vertical="center"/>
      <protection/>
    </xf>
    <xf numFmtId="0" fontId="7" fillId="0" borderId="0" xfId="1475" applyFont="1" applyFill="1" applyAlignment="1">
      <alignment vertical="center"/>
      <protection/>
    </xf>
    <xf numFmtId="0" fontId="0" fillId="0" borderId="0" xfId="1475" applyFont="1" applyFill="1" applyAlignment="1">
      <alignment horizontal="left" vertical="center" wrapText="1"/>
      <protection/>
    </xf>
    <xf numFmtId="0" fontId="0" fillId="0" borderId="0" xfId="1475" applyFont="1" applyFill="1" applyBorder="1" applyAlignment="1">
      <alignment horizontal="right" vertical="center" wrapText="1"/>
      <protection/>
    </xf>
    <xf numFmtId="0" fontId="0" fillId="0" borderId="10" xfId="1475" applyFont="1" applyFill="1" applyBorder="1" applyAlignment="1">
      <alignment horizontal="center" vertical="center" wrapText="1"/>
      <protection/>
    </xf>
    <xf numFmtId="0" fontId="1" fillId="0" borderId="10" xfId="1475" applyFont="1" applyFill="1" applyBorder="1" applyAlignment="1">
      <alignment vertical="center"/>
      <protection/>
    </xf>
    <xf numFmtId="0" fontId="8" fillId="0" borderId="10" xfId="1475" applyFont="1" applyFill="1" applyBorder="1" applyAlignment="1">
      <alignment vertical="center" wrapText="1"/>
      <protection/>
    </xf>
    <xf numFmtId="0" fontId="0" fillId="0" borderId="0" xfId="1475" applyAlignment="1">
      <alignment horizontal="center" vertical="center" wrapText="1"/>
      <protection/>
    </xf>
    <xf numFmtId="0" fontId="0" fillId="0" borderId="0" xfId="1475" applyAlignment="1">
      <alignment vertical="center"/>
      <protection/>
    </xf>
    <xf numFmtId="0" fontId="2" fillId="0" borderId="0" xfId="1475" applyFont="1" applyAlignment="1">
      <alignment horizontal="center" vertical="center" wrapText="1"/>
      <protection/>
    </xf>
    <xf numFmtId="0" fontId="0" fillId="0" borderId="0" xfId="1475" applyAlignment="1">
      <alignment horizontal="left" vertical="center" wrapText="1"/>
      <protection/>
    </xf>
    <xf numFmtId="0" fontId="9" fillId="0" borderId="10" xfId="1475" applyFont="1" applyFill="1" applyBorder="1" applyAlignment="1">
      <alignment horizontal="center" vertical="center" wrapText="1"/>
      <protection/>
    </xf>
    <xf numFmtId="0" fontId="9" fillId="0" borderId="10" xfId="1475" applyFont="1" applyFill="1" applyBorder="1" applyAlignment="1">
      <alignment horizontal="left" vertical="center" wrapText="1"/>
      <protection/>
    </xf>
    <xf numFmtId="0" fontId="1" fillId="0" borderId="10" xfId="1475" applyFont="1" applyBorder="1" applyAlignment="1">
      <alignment horizontal="left" vertical="center" wrapText="1"/>
      <protection/>
    </xf>
    <xf numFmtId="0" fontId="0" fillId="0" borderId="10" xfId="1475" applyFill="1" applyBorder="1" applyAlignment="1">
      <alignment vertical="center"/>
      <protection/>
    </xf>
    <xf numFmtId="0" fontId="10" fillId="0" borderId="0" xfId="1475" applyFont="1" applyAlignment="1">
      <alignment horizontal="center" vertical="center" wrapText="1"/>
      <protection/>
    </xf>
    <xf numFmtId="0" fontId="0" fillId="0" borderId="10" xfId="1475" applyFont="1" applyBorder="1" applyAlignment="1">
      <alignment horizontal="center" vertical="center" wrapText="1"/>
      <protection/>
    </xf>
    <xf numFmtId="49" fontId="0" fillId="0" borderId="10" xfId="1475" applyNumberFormat="1" applyFont="1" applyFill="1" applyBorder="1" applyAlignment="1" applyProtection="1">
      <alignment horizontal="left" vertical="center" wrapText="1"/>
      <protection locked="0"/>
    </xf>
    <xf numFmtId="0" fontId="9" fillId="0" borderId="10" xfId="1475" applyFont="1" applyFill="1" applyBorder="1" applyAlignment="1">
      <alignment horizontal="right" vertical="center" wrapText="1"/>
      <protection/>
    </xf>
    <xf numFmtId="0" fontId="0" fillId="0" borderId="10" xfId="1475" applyFont="1" applyFill="1" applyBorder="1" applyAlignment="1">
      <alignment horizontal="left" vertical="center" wrapText="1"/>
      <protection/>
    </xf>
    <xf numFmtId="0" fontId="9" fillId="0" borderId="10" xfId="1477" applyFont="1" applyFill="1" applyBorder="1" applyAlignment="1">
      <alignment horizontal="right" vertical="center" wrapText="1"/>
      <protection/>
    </xf>
    <xf numFmtId="0" fontId="0" fillId="0" borderId="10" xfId="1477" applyFont="1" applyBorder="1" applyAlignment="1">
      <alignment horizontal="center" vertical="center" wrapText="1"/>
      <protection/>
    </xf>
    <xf numFmtId="0" fontId="0" fillId="0" borderId="10" xfId="1477" applyFont="1" applyFill="1" applyBorder="1" applyAlignment="1">
      <alignment horizontal="center" vertical="center" wrapText="1"/>
      <protection/>
    </xf>
    <xf numFmtId="0" fontId="0" fillId="0" borderId="10" xfId="1477" applyFont="1" applyFill="1" applyBorder="1" applyAlignment="1">
      <alignment horizontal="left" vertical="center" wrapText="1"/>
      <protection/>
    </xf>
    <xf numFmtId="0" fontId="0" fillId="0" borderId="10" xfId="1475" applyFont="1" applyBorder="1" applyAlignment="1">
      <alignment horizontal="right" vertical="center" wrapText="1"/>
      <protection/>
    </xf>
    <xf numFmtId="0" fontId="0" fillId="0" borderId="10" xfId="1475" applyBorder="1" applyAlignment="1">
      <alignment horizontal="center" vertical="center" wrapText="1"/>
      <protection/>
    </xf>
    <xf numFmtId="0" fontId="0" fillId="0" borderId="10" xfId="1475" applyFill="1" applyBorder="1" applyAlignment="1">
      <alignment horizontal="right" vertical="center" wrapText="1"/>
      <protection/>
    </xf>
    <xf numFmtId="0" fontId="0" fillId="0" borderId="18" xfId="1475" applyBorder="1" applyAlignment="1">
      <alignment vertical="center" wrapText="1"/>
      <protection/>
    </xf>
    <xf numFmtId="0" fontId="0" fillId="0" borderId="18" xfId="1475" applyBorder="1" applyAlignment="1">
      <alignment horizontal="right" vertical="center" wrapText="1"/>
      <protection/>
    </xf>
    <xf numFmtId="0" fontId="0" fillId="0" borderId="10" xfId="1475" applyFont="1" applyFill="1" applyBorder="1" applyAlignment="1">
      <alignment horizontal="right" vertical="center" wrapText="1"/>
      <protection/>
    </xf>
    <xf numFmtId="0" fontId="11"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right" vertical="center" wrapText="1"/>
    </xf>
    <xf numFmtId="0" fontId="0" fillId="0" borderId="10" xfId="0" applyBorder="1" applyAlignment="1">
      <alignment horizontal="left" vertical="center" wrapText="1"/>
    </xf>
    <xf numFmtId="0" fontId="0" fillId="0" borderId="10" xfId="1596" applyNumberFormat="1" applyFont="1" applyFill="1" applyBorder="1" applyAlignment="1">
      <alignment horizontal="left" vertical="center" wrapText="1"/>
    </xf>
    <xf numFmtId="0" fontId="0"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0" fillId="0" borderId="18" xfId="0"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18" xfId="0" applyFont="1" applyFill="1" applyBorder="1" applyAlignment="1">
      <alignment horizontal="righ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right" vertical="center" wrapText="1"/>
    </xf>
    <xf numFmtId="0" fontId="1" fillId="0" borderId="10" xfId="0" applyFont="1" applyFill="1" applyBorder="1" applyAlignment="1">
      <alignment vertical="center"/>
    </xf>
    <xf numFmtId="0" fontId="1" fillId="0" borderId="10" xfId="0" applyFont="1" applyFill="1" applyBorder="1" applyAlignment="1">
      <alignment horizontal="righ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right" vertical="center"/>
    </xf>
    <xf numFmtId="205"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xf>
    <xf numFmtId="206" fontId="1"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0" fillId="0" borderId="0" xfId="1475" applyFont="1" applyFill="1">
      <alignment vertical="center"/>
      <protection/>
    </xf>
    <xf numFmtId="0" fontId="0" fillId="0" borderId="0" xfId="1475" applyFill="1">
      <alignment vertical="center"/>
      <protection/>
    </xf>
    <xf numFmtId="206" fontId="0" fillId="0" borderId="0" xfId="1475" applyNumberFormat="1" applyFill="1" applyAlignment="1">
      <alignment horizontal="center" vertical="center" wrapText="1"/>
      <protection/>
    </xf>
    <xf numFmtId="0" fontId="0" fillId="0" borderId="0" xfId="1475" applyNumberFormat="1" applyFill="1">
      <alignment vertical="center"/>
      <protection/>
    </xf>
    <xf numFmtId="0" fontId="2" fillId="0" borderId="0" xfId="1475" applyFont="1" applyFill="1" applyBorder="1" applyAlignment="1">
      <alignment horizontal="center" vertical="center" wrapText="1"/>
      <protection/>
    </xf>
    <xf numFmtId="0" fontId="2" fillId="4" borderId="0" xfId="1475" applyFont="1" applyFill="1" applyBorder="1" applyAlignment="1">
      <alignment horizontal="center" vertical="center" wrapText="1"/>
      <protection/>
    </xf>
    <xf numFmtId="0" fontId="0" fillId="0" borderId="0" xfId="1475" applyFill="1" applyBorder="1" applyAlignment="1">
      <alignment horizontal="left" vertical="center"/>
      <protection/>
    </xf>
    <xf numFmtId="0" fontId="0" fillId="0" borderId="0" xfId="1475" applyFont="1" applyFill="1" applyBorder="1" applyAlignment="1">
      <alignment horizontal="left" vertical="center"/>
      <protection/>
    </xf>
    <xf numFmtId="0" fontId="0" fillId="0" borderId="0" xfId="1475" applyNumberFormat="1" applyFont="1" applyFill="1" applyBorder="1">
      <alignment vertical="center"/>
      <protection/>
    </xf>
    <xf numFmtId="206" fontId="0" fillId="0" borderId="10" xfId="1475" applyNumberFormat="1" applyFont="1" applyFill="1" applyBorder="1" applyAlignment="1">
      <alignment horizontal="center" vertical="center" wrapText="1"/>
      <protection/>
    </xf>
    <xf numFmtId="0" fontId="0" fillId="0" borderId="10" xfId="1475" applyFont="1" applyFill="1" applyBorder="1" applyAlignment="1">
      <alignment horizontal="center" vertical="center" wrapText="1"/>
      <protection/>
    </xf>
    <xf numFmtId="0" fontId="0" fillId="0" borderId="10" xfId="1475" applyNumberFormat="1" applyFont="1" applyFill="1" applyBorder="1" applyAlignment="1">
      <alignment horizontal="center" vertical="center" wrapText="1"/>
      <protection/>
    </xf>
    <xf numFmtId="0" fontId="0" fillId="0" borderId="10" xfId="1475" applyNumberFormat="1" applyFill="1" applyBorder="1" applyAlignment="1">
      <alignment horizontal="center" vertical="center" wrapText="1"/>
      <protection/>
    </xf>
    <xf numFmtId="0" fontId="0" fillId="0" borderId="10" xfId="1475" applyFont="1" applyFill="1" applyBorder="1" applyAlignment="1">
      <alignment horizontal="center" vertical="center"/>
      <protection/>
    </xf>
    <xf numFmtId="206" fontId="13" fillId="0" borderId="10" xfId="1597" applyNumberFormat="1" applyFont="1" applyFill="1" applyBorder="1" applyAlignment="1" applyProtection="1">
      <alignment horizontal="center" vertical="center" wrapText="1"/>
      <protection/>
    </xf>
    <xf numFmtId="0" fontId="0" fillId="0" borderId="10" xfId="1475" applyNumberFormat="1" applyFont="1" applyFill="1" applyBorder="1" applyAlignment="1">
      <alignment horizontal="right" vertical="center" shrinkToFit="1"/>
      <protection/>
    </xf>
    <xf numFmtId="0" fontId="0" fillId="0" borderId="10" xfId="0" applyNumberFormat="1" applyFont="1" applyFill="1" applyBorder="1" applyAlignment="1" applyProtection="1">
      <alignment horizontal="right" vertical="center" wrapText="1"/>
      <protection locked="0"/>
    </xf>
    <xf numFmtId="206" fontId="0" fillId="0" borderId="10" xfId="1597" applyNumberFormat="1" applyFont="1" applyFill="1" applyBorder="1" applyAlignment="1" applyProtection="1">
      <alignment horizontal="center" vertical="center" wrapText="1"/>
      <protection/>
    </xf>
    <xf numFmtId="0" fontId="0" fillId="0" borderId="10" xfId="0" applyNumberFormat="1" applyFont="1" applyFill="1" applyBorder="1" applyAlignment="1">
      <alignment horizontal="right" vertical="center" wrapText="1"/>
    </xf>
    <xf numFmtId="206" fontId="14" fillId="0" borderId="10" xfId="1597" applyNumberFormat="1" applyFont="1" applyFill="1" applyBorder="1" applyAlignment="1" applyProtection="1">
      <alignment horizontal="center" vertical="center" wrapText="1"/>
      <protection/>
    </xf>
    <xf numFmtId="0" fontId="0" fillId="0" borderId="10" xfId="35" applyNumberFormat="1" applyFont="1" applyFill="1" applyBorder="1" applyAlignment="1">
      <alignment horizontal="right" vertical="center" wrapText="1"/>
    </xf>
    <xf numFmtId="206" fontId="15" fillId="0" borderId="10" xfId="1597" applyNumberFormat="1" applyFont="1" applyFill="1" applyBorder="1" applyAlignment="1" applyProtection="1">
      <alignment horizontal="center" vertical="center" wrapText="1"/>
      <protection/>
    </xf>
    <xf numFmtId="0" fontId="0" fillId="0" borderId="0" xfId="1475" applyFill="1" applyBorder="1" applyAlignment="1">
      <alignment horizontal="center" vertical="center"/>
      <protection/>
    </xf>
    <xf numFmtId="0" fontId="0" fillId="0" borderId="0" xfId="1475" applyFont="1" applyFill="1" applyBorder="1" applyAlignment="1">
      <alignment horizontal="center" vertical="center"/>
      <protection/>
    </xf>
    <xf numFmtId="0" fontId="0" fillId="0" borderId="0" xfId="1475" applyFont="1" applyFill="1" applyBorder="1">
      <alignment vertical="center"/>
      <protection/>
    </xf>
    <xf numFmtId="0" fontId="8" fillId="0" borderId="10" xfId="1475" applyNumberFormat="1" applyFont="1" applyFill="1" applyBorder="1" applyAlignment="1">
      <alignment horizontal="center" vertical="center" wrapText="1"/>
      <protection/>
    </xf>
    <xf numFmtId="0" fontId="1" fillId="0" borderId="10" xfId="0" applyNumberFormat="1" applyFont="1" applyFill="1" applyBorder="1" applyAlignment="1">
      <alignment horizontal="right" vertical="center" wrapText="1"/>
    </xf>
    <xf numFmtId="0" fontId="0" fillId="0" borderId="10" xfId="1475" applyFont="1" applyFill="1" applyBorder="1" applyAlignment="1">
      <alignment vertical="center" shrinkToFit="1"/>
      <protection/>
    </xf>
    <xf numFmtId="0" fontId="0" fillId="0" borderId="10" xfId="1475" applyFont="1" applyFill="1" applyBorder="1">
      <alignment vertical="center"/>
      <protection/>
    </xf>
    <xf numFmtId="0" fontId="16" fillId="0" borderId="10" xfId="1475" applyFont="1" applyFill="1" applyBorder="1" applyAlignment="1">
      <alignment vertical="center" shrinkToFit="1"/>
      <protection/>
    </xf>
    <xf numFmtId="0" fontId="1" fillId="0" borderId="10" xfId="0" applyNumberFormat="1" applyFont="1" applyFill="1" applyBorder="1" applyAlignment="1" applyProtection="1">
      <alignment horizontal="right" vertical="center" wrapText="1"/>
      <protection/>
    </xf>
    <xf numFmtId="0" fontId="0" fillId="0" borderId="10" xfId="1475" applyNumberFormat="1" applyFont="1" applyFill="1" applyBorder="1" applyAlignment="1">
      <alignment horizontal="right" vertical="center"/>
      <protection/>
    </xf>
    <xf numFmtId="0" fontId="1" fillId="0" borderId="10" xfId="0" applyNumberFormat="1" applyFont="1" applyFill="1" applyBorder="1" applyAlignment="1" applyProtection="1">
      <alignment horizontal="right" vertical="center" wrapText="1"/>
      <protection locked="0"/>
    </xf>
    <xf numFmtId="0" fontId="17" fillId="0" borderId="10" xfId="1475" applyFont="1" applyFill="1" applyBorder="1" applyAlignment="1">
      <alignment vertical="center" shrinkToFit="1"/>
      <protection/>
    </xf>
    <xf numFmtId="0" fontId="1" fillId="0" borderId="10" xfId="1475" applyNumberFormat="1" applyFont="1" applyFill="1" applyBorder="1" applyAlignment="1">
      <alignment horizontal="right" vertical="center" shrinkToFit="1"/>
      <protection/>
    </xf>
    <xf numFmtId="0" fontId="0" fillId="0" borderId="10" xfId="1475" applyNumberFormat="1" applyFont="1" applyFill="1" applyBorder="1" applyAlignment="1">
      <alignment horizontal="right" vertical="center" wrapText="1" shrinkToFit="1"/>
      <protection/>
    </xf>
    <xf numFmtId="0" fontId="0" fillId="0" borderId="10" xfId="0" applyNumberFormat="1" applyFont="1" applyFill="1" applyBorder="1" applyAlignment="1" applyProtection="1">
      <alignment horizontal="center" vertical="center" wrapText="1"/>
      <protection locked="0"/>
    </xf>
    <xf numFmtId="0" fontId="8" fillId="0" borderId="10" xfId="1475" applyFont="1" applyFill="1" applyBorder="1" applyAlignment="1">
      <alignment horizontal="center" vertical="center" wrapText="1"/>
      <protection/>
    </xf>
    <xf numFmtId="0" fontId="1" fillId="0" borderId="10" xfId="1475" applyNumberFormat="1" applyFont="1" applyFill="1" applyBorder="1" applyAlignment="1">
      <alignment horizontal="right" vertical="center" wrapText="1"/>
      <protection/>
    </xf>
    <xf numFmtId="0" fontId="4" fillId="0" borderId="10" xfId="1475" applyFont="1" applyFill="1" applyBorder="1" applyAlignment="1">
      <alignment horizontal="center" vertical="center" wrapText="1"/>
      <protection/>
    </xf>
    <xf numFmtId="1" fontId="0" fillId="0" borderId="10" xfId="1475" applyNumberFormat="1" applyFont="1" applyFill="1" applyBorder="1" applyAlignment="1">
      <alignment horizontal="right" vertical="center" shrinkToFit="1"/>
      <protection/>
    </xf>
    <xf numFmtId="0" fontId="8" fillId="0" borderId="0" xfId="1475" applyNumberFormat="1" applyFont="1" applyFill="1" applyAlignment="1">
      <alignment horizontal="justify" vertical="center" wrapText="1"/>
      <protection/>
    </xf>
    <xf numFmtId="206" fontId="0" fillId="0" borderId="0" xfId="1475" applyNumberFormat="1" applyFont="1" applyFill="1">
      <alignment vertical="center"/>
      <protection/>
    </xf>
    <xf numFmtId="0" fontId="0" fillId="0" borderId="0" xfId="0" applyFill="1" applyAlignment="1">
      <alignment vertical="center"/>
    </xf>
    <xf numFmtId="0" fontId="0" fillId="0" borderId="0" xfId="1475" applyFill="1" applyBorder="1" applyAlignment="1">
      <alignment horizontal="left" vertical="center" wrapText="1"/>
      <protection/>
    </xf>
    <xf numFmtId="0" fontId="0" fillId="0" borderId="0" xfId="1475" applyFill="1" applyBorder="1" applyAlignment="1">
      <alignment horizontal="right" vertical="center" wrapText="1"/>
      <protection/>
    </xf>
    <xf numFmtId="0" fontId="14" fillId="0" borderId="19" xfId="1475" applyFont="1" applyFill="1" applyBorder="1" applyAlignment="1">
      <alignment vertical="center" wrapText="1"/>
      <protection/>
    </xf>
    <xf numFmtId="0" fontId="0" fillId="0" borderId="10" xfId="1475" applyFill="1" applyBorder="1" applyAlignment="1">
      <alignment horizontal="center" vertical="center" wrapText="1"/>
      <protection/>
    </xf>
    <xf numFmtId="0" fontId="0" fillId="0" borderId="11" xfId="1475" applyFill="1" applyBorder="1" applyAlignment="1">
      <alignment vertical="top" wrapText="1"/>
      <protection/>
    </xf>
    <xf numFmtId="0" fontId="0" fillId="0" borderId="12" xfId="1475" applyFill="1" applyBorder="1" applyAlignment="1">
      <alignment horizontal="left" wrapText="1"/>
      <protection/>
    </xf>
    <xf numFmtId="0" fontId="0" fillId="0" borderId="12" xfId="1475" applyFill="1" applyBorder="1" applyAlignment="1">
      <alignment horizontal="center" vertical="center" wrapText="1"/>
      <protection/>
    </xf>
    <xf numFmtId="1" fontId="0" fillId="0" borderId="10" xfId="1475" applyNumberFormat="1" applyFill="1" applyBorder="1" applyAlignment="1">
      <alignment horizontal="right" vertical="center" wrapText="1"/>
      <protection/>
    </xf>
    <xf numFmtId="0" fontId="18" fillId="0" borderId="12" xfId="1594" applyFont="1" applyFill="1" applyBorder="1" applyAlignment="1">
      <alignment horizontal="left" vertical="center" wrapText="1"/>
      <protection/>
    </xf>
    <xf numFmtId="0" fontId="14" fillId="0" borderId="10" xfId="1475" applyFont="1" applyFill="1" applyBorder="1" applyAlignment="1">
      <alignment horizontal="right" vertical="center" wrapText="1"/>
      <protection/>
    </xf>
    <xf numFmtId="0" fontId="13" fillId="0" borderId="10" xfId="1475" applyFont="1" applyFill="1" applyBorder="1" applyAlignment="1">
      <alignment horizontal="right" vertical="center" wrapText="1"/>
      <protection/>
    </xf>
    <xf numFmtId="0" fontId="18" fillId="0" borderId="10" xfId="1594" applyFont="1" applyFill="1" applyBorder="1" applyAlignment="1">
      <alignment horizontal="left" vertical="center" wrapText="1"/>
      <protection/>
    </xf>
    <xf numFmtId="205" fontId="13" fillId="0" borderId="10" xfId="1475" applyNumberFormat="1" applyFont="1" applyFill="1" applyBorder="1" applyAlignment="1">
      <alignment horizontal="right" vertical="center" wrapText="1"/>
      <protection/>
    </xf>
    <xf numFmtId="1" fontId="13" fillId="0" borderId="10" xfId="1475" applyNumberFormat="1" applyFont="1" applyFill="1" applyBorder="1" applyAlignment="1">
      <alignment horizontal="right" vertical="center" wrapText="1"/>
      <protection/>
    </xf>
    <xf numFmtId="0" fontId="13" fillId="0" borderId="10" xfId="1594" applyFont="1" applyFill="1" applyBorder="1" applyAlignment="1">
      <alignment horizontal="left" vertical="center" wrapText="1"/>
      <protection/>
    </xf>
    <xf numFmtId="205" fontId="14" fillId="0" borderId="10" xfId="1475" applyNumberFormat="1" applyFont="1" applyFill="1" applyBorder="1" applyAlignment="1">
      <alignment horizontal="right" vertical="center" wrapText="1"/>
      <protection/>
    </xf>
    <xf numFmtId="0" fontId="0"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lignment vertical="center"/>
    </xf>
    <xf numFmtId="206" fontId="0" fillId="0" borderId="0" xfId="0" applyNumberFormat="1" applyFont="1" applyFill="1" applyBorder="1" applyAlignment="1" applyProtection="1">
      <alignment vertical="center"/>
      <protection locked="0"/>
    </xf>
    <xf numFmtId="0" fontId="0" fillId="0" borderId="0" xfId="0" applyFill="1" applyBorder="1" applyAlignment="1">
      <alignment vertical="center"/>
    </xf>
    <xf numFmtId="0" fontId="2" fillId="0" borderId="0" xfId="0" applyFont="1" applyFill="1" applyBorder="1" applyAlignment="1" applyProtection="1">
      <alignment horizontal="center" vertical="center"/>
      <protection locked="0"/>
    </xf>
    <xf numFmtId="206" fontId="1" fillId="0" borderId="0" xfId="0" applyNumberFormat="1" applyFont="1" applyFill="1" applyBorder="1" applyAlignment="1" applyProtection="1">
      <alignment vertical="center"/>
      <protection locked="0"/>
    </xf>
    <xf numFmtId="0" fontId="1"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206" fontId="8"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protection locked="0"/>
    </xf>
    <xf numFmtId="0" fontId="1" fillId="0" borderId="19" xfId="0" applyFont="1" applyFill="1" applyBorder="1" applyAlignment="1" applyProtection="1">
      <alignment horizontal="right" vertical="center" shrinkToFit="1"/>
      <protection locked="0"/>
    </xf>
    <xf numFmtId="206"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205" fontId="1" fillId="0" borderId="10" xfId="0" applyNumberFormat="1" applyFont="1" applyFill="1" applyBorder="1" applyAlignment="1" applyProtection="1">
      <alignment horizontal="left" vertical="center"/>
      <protection locked="0"/>
    </xf>
    <xf numFmtId="0" fontId="1" fillId="0" borderId="10" xfId="0" applyFont="1" applyFill="1" applyBorder="1" applyAlignment="1" applyProtection="1">
      <alignment vertical="center"/>
      <protection locked="0"/>
    </xf>
    <xf numFmtId="0" fontId="1" fillId="0" borderId="10" xfId="0" applyFont="1" applyFill="1" applyBorder="1" applyAlignment="1" applyProtection="1">
      <alignment horizontal="right" vertical="center" shrinkToFit="1"/>
      <protection/>
    </xf>
    <xf numFmtId="0" fontId="1" fillId="0" borderId="10" xfId="1040" applyFont="1" applyFill="1" applyBorder="1" applyAlignment="1">
      <alignment vertical="center"/>
      <protection/>
    </xf>
    <xf numFmtId="0" fontId="1" fillId="0" borderId="10" xfId="0" applyFont="1" applyFill="1" applyBorder="1" applyAlignment="1" applyProtection="1">
      <alignment horizontal="right" vertical="center" shrinkToFit="1"/>
      <protection locked="0"/>
    </xf>
    <xf numFmtId="206" fontId="1" fillId="0" borderId="10" xfId="1040" applyNumberFormat="1" applyFont="1" applyFill="1" applyBorder="1" applyAlignment="1">
      <alignment vertical="center"/>
      <protection/>
    </xf>
    <xf numFmtId="0" fontId="1" fillId="0" borderId="10" xfId="1040" applyNumberFormat="1" applyFont="1" applyFill="1" applyBorder="1" applyAlignment="1" applyProtection="1">
      <alignment horizontal="left" vertical="center"/>
      <protection/>
    </xf>
    <xf numFmtId="0" fontId="1" fillId="0" borderId="10" xfId="1040" applyNumberFormat="1" applyFont="1" applyFill="1" applyBorder="1" applyAlignment="1" applyProtection="1">
      <alignment vertical="center"/>
      <protection/>
    </xf>
    <xf numFmtId="0" fontId="1" fillId="0" borderId="10" xfId="1595" applyFont="1" applyFill="1" applyBorder="1" applyAlignment="1" applyProtection="1">
      <alignment vertical="center" shrinkToFit="1"/>
      <protection/>
    </xf>
    <xf numFmtId="0" fontId="1" fillId="0" borderId="10" xfId="0" applyFont="1" applyFill="1" applyBorder="1" applyAlignment="1" applyProtection="1">
      <alignment vertical="center"/>
      <protection/>
    </xf>
    <xf numFmtId="206" fontId="1" fillId="0" borderId="10" xfId="0" applyNumberFormat="1" applyFont="1" applyFill="1" applyBorder="1" applyAlignment="1" applyProtection="1">
      <alignment vertical="center"/>
      <protection/>
    </xf>
    <xf numFmtId="0" fontId="8" fillId="0" borderId="0" xfId="0" applyFont="1" applyFill="1" applyBorder="1" applyAlignment="1" applyProtection="1">
      <alignment vertical="center" wrapText="1"/>
      <protection locked="0"/>
    </xf>
    <xf numFmtId="0" fontId="1" fillId="0" borderId="18" xfId="0" applyFont="1" applyFill="1" applyBorder="1" applyAlignment="1" applyProtection="1">
      <alignment horizontal="right" vertical="center"/>
      <protection locked="0"/>
    </xf>
    <xf numFmtId="207" fontId="1" fillId="0" borderId="10" xfId="0" applyNumberFormat="1"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206" fontId="1" fillId="0" borderId="10" xfId="0" applyNumberFormat="1" applyFont="1" applyFill="1" applyBorder="1" applyAlignment="1" applyProtection="1">
      <alignment vertical="center"/>
      <protection locked="0"/>
    </xf>
    <xf numFmtId="0" fontId="0" fillId="0" borderId="10" xfId="0" applyFont="1" applyFill="1" applyBorder="1" applyAlignment="1">
      <alignment vertical="center"/>
    </xf>
    <xf numFmtId="0" fontId="19" fillId="0" borderId="0" xfId="0" applyFont="1" applyFill="1" applyBorder="1" applyAlignment="1" applyProtection="1">
      <alignment vertical="center"/>
      <protection locked="0"/>
    </xf>
    <xf numFmtId="0" fontId="1" fillId="0" borderId="19" xfId="0" applyFont="1" applyFill="1" applyBorder="1" applyAlignment="1" applyProtection="1">
      <alignment horizontal="left" vertical="center"/>
      <protection locked="0"/>
    </xf>
    <xf numFmtId="206" fontId="1" fillId="0" borderId="10" xfId="0" applyNumberFormat="1" applyFont="1" applyFill="1" applyBorder="1" applyAlignment="1" applyProtection="1">
      <alignment horizontal="right" vertical="center" shrinkToFit="1"/>
      <protection locked="0"/>
    </xf>
    <xf numFmtId="205" fontId="1" fillId="0" borderId="19" xfId="0" applyNumberFormat="1" applyFont="1" applyFill="1" applyBorder="1" applyAlignment="1" applyProtection="1">
      <alignment horizontal="right" vertical="center" shrinkToFit="1"/>
      <protection/>
    </xf>
    <xf numFmtId="0" fontId="1" fillId="0" borderId="10" xfId="0" applyNumberFormat="1" applyFont="1" applyFill="1" applyBorder="1" applyAlignment="1" applyProtection="1">
      <alignment horizontal="right" vertical="center" shrinkToFit="1"/>
      <protection/>
    </xf>
    <xf numFmtId="0" fontId="1" fillId="0" borderId="20" xfId="1040" applyFont="1" applyFill="1" applyBorder="1" applyAlignment="1">
      <alignment vertical="center"/>
      <protection/>
    </xf>
    <xf numFmtId="205" fontId="1" fillId="0" borderId="10" xfId="0" applyNumberFormat="1" applyFont="1" applyFill="1" applyBorder="1" applyAlignment="1" applyProtection="1">
      <alignment vertical="center" shrinkToFit="1"/>
      <protection/>
    </xf>
    <xf numFmtId="0" fontId="1" fillId="0" borderId="20" xfId="1040" applyNumberFormat="1" applyFont="1" applyFill="1" applyBorder="1" applyAlignment="1" applyProtection="1">
      <alignment horizontal="left" vertical="center"/>
      <protection/>
    </xf>
    <xf numFmtId="0" fontId="1" fillId="0" borderId="20" xfId="1040" applyNumberFormat="1" applyFont="1" applyFill="1" applyBorder="1" applyAlignment="1" applyProtection="1">
      <alignment vertical="center"/>
      <protection/>
    </xf>
    <xf numFmtId="0" fontId="1" fillId="0" borderId="12" xfId="0" applyFont="1" applyFill="1" applyBorder="1" applyAlignment="1" applyProtection="1">
      <alignment vertical="center"/>
      <protection locked="0"/>
    </xf>
    <xf numFmtId="206" fontId="1" fillId="0" borderId="12" xfId="0" applyNumberFormat="1" applyFont="1" applyFill="1" applyBorder="1" applyAlignment="1" applyProtection="1">
      <alignment horizontal="right" vertical="center" shrinkToFit="1"/>
      <protection locked="0"/>
    </xf>
    <xf numFmtId="0" fontId="1" fillId="0" borderId="12" xfId="0" applyFont="1" applyFill="1" applyBorder="1" applyAlignment="1" applyProtection="1">
      <alignment horizontal="right" vertical="center" shrinkToFit="1"/>
      <protection/>
    </xf>
    <xf numFmtId="0" fontId="1" fillId="0" borderId="12" xfId="0" applyFont="1" applyFill="1" applyBorder="1" applyAlignment="1" applyProtection="1">
      <alignment horizontal="right" vertical="center" shrinkToFit="1"/>
      <protection locked="0"/>
    </xf>
    <xf numFmtId="0" fontId="1" fillId="0" borderId="12" xfId="0" applyNumberFormat="1" applyFont="1" applyFill="1" applyBorder="1" applyAlignment="1" applyProtection="1">
      <alignment horizontal="right" vertical="center" shrinkToFit="1"/>
      <protection/>
    </xf>
    <xf numFmtId="0" fontId="1" fillId="0" borderId="13" xfId="0" applyFont="1" applyFill="1" applyBorder="1" applyAlignment="1" applyProtection="1">
      <alignment horizontal="left" vertical="center" wrapText="1"/>
      <protection locked="0"/>
    </xf>
    <xf numFmtId="0" fontId="0" fillId="0" borderId="0" xfId="1475">
      <alignment vertical="center"/>
      <protection/>
    </xf>
    <xf numFmtId="0" fontId="20" fillId="0" borderId="0" xfId="1475" applyFont="1" applyFill="1" applyAlignment="1">
      <alignment horizontal="center" vertical="center" wrapText="1"/>
      <protection/>
    </xf>
    <xf numFmtId="0" fontId="1" fillId="0" borderId="10" xfId="1475" applyNumberFormat="1" applyFont="1" applyFill="1" applyBorder="1" applyAlignment="1" applyProtection="1">
      <alignment horizontal="left" vertical="center" wrapText="1"/>
      <protection locked="0"/>
    </xf>
    <xf numFmtId="0" fontId="1" fillId="0" borderId="10" xfId="1476" applyFont="1" applyFill="1" applyBorder="1" applyAlignment="1">
      <alignment vertical="center" wrapText="1"/>
      <protection/>
    </xf>
    <xf numFmtId="0" fontId="9" fillId="0" borderId="10" xfId="1475" applyFont="1" applyFill="1" applyBorder="1" applyAlignment="1">
      <alignment vertical="center"/>
      <protection/>
    </xf>
    <xf numFmtId="0" fontId="21" fillId="2" borderId="0" xfId="94" applyAlignment="1">
      <alignment vertical="center"/>
    </xf>
    <xf numFmtId="0" fontId="1" fillId="0" borderId="10" xfId="94" applyFont="1" applyFill="1" applyBorder="1" applyAlignment="1">
      <alignment vertical="center" wrapText="1"/>
    </xf>
    <xf numFmtId="0" fontId="1" fillId="0" borderId="19" xfId="1475" applyFont="1" applyFill="1" applyBorder="1" applyAlignment="1">
      <alignment horizontal="left" vertical="center" wrapText="1"/>
      <protection/>
    </xf>
    <xf numFmtId="0" fontId="1" fillId="0" borderId="19" xfId="1475" applyFont="1" applyFill="1" applyBorder="1" applyAlignment="1">
      <alignment horizontal="right" vertical="center" wrapText="1"/>
      <protection/>
    </xf>
    <xf numFmtId="0" fontId="1" fillId="0" borderId="19" xfId="1475" applyFont="1" applyFill="1" applyBorder="1" applyAlignment="1">
      <alignment vertical="center"/>
      <protection/>
    </xf>
    <xf numFmtId="0" fontId="1" fillId="0" borderId="19" xfId="94" applyFont="1" applyFill="1" applyBorder="1" applyAlignment="1">
      <alignment vertical="center" wrapText="1"/>
    </xf>
    <xf numFmtId="0" fontId="1" fillId="0" borderId="10" xfId="1475" applyFont="1" applyFill="1" applyBorder="1" applyAlignment="1">
      <alignment horizontal="left" vertical="center"/>
      <protection/>
    </xf>
    <xf numFmtId="0" fontId="1" fillId="0" borderId="10" xfId="1475" applyFont="1" applyBorder="1" applyAlignment="1">
      <alignment horizontal="left" vertical="center"/>
      <protection/>
    </xf>
    <xf numFmtId="0" fontId="0" fillId="0" borderId="0" xfId="1475" applyFont="1" applyAlignment="1">
      <alignment horizontal="center" vertical="center" wrapText="1"/>
      <protection/>
    </xf>
    <xf numFmtId="0" fontId="0" fillId="0" borderId="0" xfId="1475" applyFont="1" applyAlignment="1">
      <alignment horizontal="left" vertical="center" wrapText="1"/>
      <protection/>
    </xf>
    <xf numFmtId="0" fontId="0" fillId="0" borderId="0" xfId="1475" applyFont="1" applyAlignment="1">
      <alignment vertical="center"/>
      <protection/>
    </xf>
    <xf numFmtId="0" fontId="9" fillId="0" borderId="10" xfId="1477" applyFont="1" applyFill="1" applyBorder="1" applyAlignment="1">
      <alignment horizontal="center" vertical="center" wrapText="1"/>
      <protection/>
    </xf>
    <xf numFmtId="0" fontId="0" fillId="0" borderId="18" xfId="1475" applyFont="1" applyBorder="1" applyAlignment="1">
      <alignment vertical="center" wrapText="1"/>
      <protection/>
    </xf>
    <xf numFmtId="0" fontId="0" fillId="0" borderId="18" xfId="1475" applyFont="1" applyBorder="1" applyAlignment="1">
      <alignment horizontal="right" vertical="center" wrapText="1"/>
      <protection/>
    </xf>
    <xf numFmtId="0" fontId="0" fillId="0" borderId="0" xfId="1475" applyFill="1" applyBorder="1" applyAlignment="1">
      <alignment vertical="center"/>
      <protection/>
    </xf>
    <xf numFmtId="0" fontId="0" fillId="0" borderId="0" xfId="0"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 fillId="0" borderId="0" xfId="0" applyFont="1" applyFill="1" applyAlignment="1">
      <alignment horizontal="left" vertical="center" wrapText="1"/>
    </xf>
    <xf numFmtId="0" fontId="8" fillId="0" borderId="18" xfId="0" applyFont="1" applyFill="1" applyBorder="1" applyAlignment="1">
      <alignment horizontal="righ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xf>
    <xf numFmtId="0" fontId="8" fillId="0" borderId="10" xfId="0" applyFont="1" applyFill="1" applyBorder="1" applyAlignment="1">
      <alignment horizontal="right" vertical="center"/>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0" fillId="0" borderId="0" xfId="1595" applyProtection="1">
      <alignment/>
      <protection locked="0"/>
    </xf>
    <xf numFmtId="0" fontId="0" fillId="0" borderId="0" xfId="1595" applyFill="1" applyProtection="1">
      <alignment/>
      <protection locked="0"/>
    </xf>
    <xf numFmtId="205" fontId="0" fillId="0" borderId="0" xfId="1595" applyNumberFormat="1" applyFill="1" applyProtection="1">
      <alignment/>
      <protection locked="0"/>
    </xf>
    <xf numFmtId="207" fontId="0" fillId="0" borderId="0" xfId="1595" applyNumberFormat="1" applyProtection="1">
      <alignment/>
      <protection locked="0"/>
    </xf>
    <xf numFmtId="0" fontId="0" fillId="0" borderId="0" xfId="1595" applyFont="1" applyFill="1" applyProtection="1">
      <alignment/>
      <protection locked="0"/>
    </xf>
    <xf numFmtId="0" fontId="23" fillId="0" borderId="0" xfId="0" applyFont="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205" fontId="23" fillId="0" borderId="0" xfId="0" applyNumberFormat="1" applyFont="1" applyFill="1" applyAlignment="1" applyProtection="1">
      <alignment horizontal="center" vertical="center" wrapText="1"/>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205" fontId="0" fillId="0" borderId="0" xfId="0" applyNumberFormat="1" applyFont="1" applyFill="1" applyAlignment="1" applyProtection="1">
      <alignment vertical="center"/>
      <protection locked="0"/>
    </xf>
    <xf numFmtId="0" fontId="0" fillId="0" borderId="18" xfId="0" applyFont="1" applyBorder="1" applyAlignment="1" applyProtection="1">
      <alignment vertical="center"/>
      <protection locked="0"/>
    </xf>
    <xf numFmtId="207" fontId="0" fillId="0" borderId="0" xfId="1595" applyNumberFormat="1" applyFont="1" applyAlignment="1" applyProtection="1">
      <alignment vertical="center"/>
      <protection locked="0"/>
    </xf>
    <xf numFmtId="0" fontId="0" fillId="0" borderId="10" xfId="0" applyFont="1" applyBorder="1" applyAlignment="1" applyProtection="1">
      <alignment horizontal="center" vertical="center"/>
      <protection locked="0"/>
    </xf>
    <xf numFmtId="205" fontId="1" fillId="0" borderId="19" xfId="0" applyNumberFormat="1" applyFont="1" applyFill="1" applyBorder="1" applyAlignment="1" applyProtection="1">
      <alignment horizontal="center" vertical="center" wrapText="1"/>
      <protection locked="0"/>
    </xf>
    <xf numFmtId="205" fontId="1" fillId="0" borderId="10"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205" fontId="1" fillId="0" borderId="12" xfId="0" applyNumberFormat="1" applyFont="1" applyFill="1" applyBorder="1" applyAlignment="1" applyProtection="1">
      <alignment horizontal="center" vertical="center" wrapText="1"/>
      <protection locked="0"/>
    </xf>
    <xf numFmtId="207" fontId="1" fillId="0" borderId="10" xfId="0" applyNumberFormat="1" applyFont="1" applyBorder="1" applyAlignment="1" applyProtection="1">
      <alignment horizontal="center" vertical="center" wrapText="1"/>
      <protection locked="0"/>
    </xf>
    <xf numFmtId="0" fontId="0" fillId="0" borderId="10" xfId="104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right" vertical="center" shrinkToFit="1"/>
      <protection locked="0"/>
    </xf>
    <xf numFmtId="2" fontId="0" fillId="0" borderId="10" xfId="0" applyNumberFormat="1" applyFont="1" applyBorder="1" applyAlignment="1" applyProtection="1">
      <alignment horizontal="right" vertical="center" shrinkToFit="1"/>
      <protection/>
    </xf>
    <xf numFmtId="2" fontId="0" fillId="0" borderId="10" xfId="0" applyNumberFormat="1" applyFont="1" applyFill="1" applyBorder="1" applyAlignment="1" applyProtection="1">
      <alignment horizontal="right" vertical="center" shrinkToFit="1"/>
      <protection locked="0"/>
    </xf>
    <xf numFmtId="0" fontId="1" fillId="0" borderId="10" xfId="1040" applyNumberFormat="1" applyFont="1" applyFill="1" applyBorder="1" applyAlignment="1" applyProtection="1">
      <alignment vertical="center" wrapText="1"/>
      <protection/>
    </xf>
    <xf numFmtId="0" fontId="0" fillId="0" borderId="10" xfId="0" applyFont="1" applyBorder="1" applyAlignment="1" applyProtection="1">
      <alignment horizontal="center" vertical="center" shrinkToFit="1"/>
      <protection locked="0"/>
    </xf>
    <xf numFmtId="0" fontId="0" fillId="0" borderId="10" xfId="0" applyNumberFormat="1" applyFont="1" applyFill="1" applyBorder="1" applyAlignment="1" applyProtection="1">
      <alignment horizontal="right" vertical="center" shrinkToFit="1"/>
      <protection/>
    </xf>
    <xf numFmtId="0" fontId="0" fillId="0" borderId="0" xfId="0" applyNumberFormat="1" applyFont="1" applyFill="1" applyAlignment="1" applyProtection="1">
      <alignment vertical="center" wrapText="1"/>
      <protection locked="0"/>
    </xf>
    <xf numFmtId="205" fontId="0" fillId="0" borderId="0" xfId="0" applyNumberFormat="1" applyFont="1" applyFill="1" applyAlignment="1" applyProtection="1">
      <alignment vertical="center" wrapText="1"/>
      <protection locked="0"/>
    </xf>
    <xf numFmtId="0" fontId="23" fillId="0" borderId="0" xfId="0" applyFont="1" applyAlignment="1">
      <alignment horizontal="center" vertical="center" wrapText="1"/>
    </xf>
    <xf numFmtId="207" fontId="0" fillId="0" borderId="18" xfId="0" applyNumberFormat="1" applyFont="1" applyBorder="1" applyAlignment="1" applyProtection="1">
      <alignment vertical="center"/>
      <protection locked="0"/>
    </xf>
    <xf numFmtId="0" fontId="0" fillId="0" borderId="0" xfId="1595" applyFont="1" applyFill="1" applyBorder="1" applyProtection="1">
      <alignment/>
      <protection locked="0"/>
    </xf>
    <xf numFmtId="0" fontId="0" fillId="0" borderId="0" xfId="1595" applyFont="1" applyFill="1" applyBorder="1" applyAlignment="1" applyProtection="1">
      <alignment horizontal="center"/>
      <protection locked="0"/>
    </xf>
    <xf numFmtId="0" fontId="0" fillId="0" borderId="0" xfId="1595" applyFont="1" applyAlignment="1" applyProtection="1">
      <alignment horizontal="center"/>
      <protection locked="0"/>
    </xf>
    <xf numFmtId="0" fontId="0" fillId="0" borderId="10" xfId="0" applyFont="1" applyBorder="1" applyAlignment="1" applyProtection="1">
      <alignment horizontal="right" vertical="center" shrinkToFit="1"/>
      <protection locked="0"/>
    </xf>
    <xf numFmtId="0" fontId="0" fillId="0" borderId="21" xfId="0" applyFont="1" applyFill="1" applyBorder="1" applyAlignment="1">
      <alignment/>
    </xf>
    <xf numFmtId="0" fontId="0" fillId="0" borderId="0" xfId="0" applyFont="1" applyFill="1" applyBorder="1" applyAlignment="1">
      <alignment horizontal="right" vertical="center" wrapText="1"/>
    </xf>
    <xf numFmtId="0" fontId="0" fillId="0" borderId="0" xfId="1595" applyBorder="1" applyProtection="1">
      <alignment/>
      <protection locked="0"/>
    </xf>
    <xf numFmtId="0" fontId="19" fillId="0" borderId="0" xfId="1595" applyFont="1" applyFill="1" applyProtection="1">
      <alignment/>
      <protection locked="0"/>
    </xf>
    <xf numFmtId="0" fontId="0" fillId="0" borderId="0" xfId="1595" applyFont="1" applyAlignment="1" applyProtection="1">
      <alignment vertical="center"/>
      <protection locked="0"/>
    </xf>
    <xf numFmtId="205" fontId="0" fillId="0" borderId="0" xfId="1595" applyNumberFormat="1" applyFill="1" applyProtection="1">
      <alignment/>
      <protection locked="0"/>
    </xf>
    <xf numFmtId="0" fontId="23" fillId="0" borderId="0" xfId="1595" applyFont="1" applyAlignment="1" applyProtection="1">
      <alignment horizontal="center" vertical="center" shrinkToFit="1"/>
      <protection locked="0"/>
    </xf>
    <xf numFmtId="0" fontId="23" fillId="0" borderId="0" xfId="1595" applyFont="1" applyFill="1" applyAlignment="1" applyProtection="1">
      <alignment horizontal="center" vertical="center" shrinkToFit="1"/>
      <protection locked="0"/>
    </xf>
    <xf numFmtId="205" fontId="23" fillId="0" borderId="0" xfId="1595" applyNumberFormat="1" applyFont="1" applyFill="1" applyAlignment="1" applyProtection="1">
      <alignment horizontal="center" vertical="center" shrinkToFit="1"/>
      <protection locked="0"/>
    </xf>
    <xf numFmtId="0" fontId="0" fillId="0" borderId="0" xfId="1595" applyFont="1" applyFill="1" applyAlignment="1" applyProtection="1">
      <alignment vertical="center"/>
      <protection locked="0"/>
    </xf>
    <xf numFmtId="205" fontId="0" fillId="0" borderId="0" xfId="1595" applyNumberFormat="1" applyFont="1" applyFill="1" applyAlignment="1" applyProtection="1">
      <alignment vertical="center"/>
      <protection locked="0"/>
    </xf>
    <xf numFmtId="0" fontId="0" fillId="0" borderId="18" xfId="1595" applyFont="1" applyBorder="1" applyAlignment="1" applyProtection="1">
      <alignment vertical="center"/>
      <protection locked="0"/>
    </xf>
    <xf numFmtId="0" fontId="0" fillId="0" borderId="10" xfId="1595" applyFont="1" applyBorder="1" applyAlignment="1" applyProtection="1">
      <alignment horizontal="center" vertical="center"/>
      <protection locked="0"/>
    </xf>
    <xf numFmtId="0" fontId="0" fillId="0" borderId="10" xfId="1595" applyFont="1" applyFill="1" applyBorder="1" applyAlignment="1" applyProtection="1">
      <alignment horizontal="center" vertical="center" wrapText="1"/>
      <protection locked="0"/>
    </xf>
    <xf numFmtId="0" fontId="0" fillId="0" borderId="10" xfId="1595" applyFont="1" applyBorder="1" applyAlignment="1" applyProtection="1">
      <alignment horizontal="center" vertical="center" wrapText="1"/>
      <protection locked="0"/>
    </xf>
    <xf numFmtId="205" fontId="0" fillId="0" borderId="10" xfId="1595" applyNumberFormat="1" applyFont="1" applyFill="1" applyBorder="1" applyAlignment="1" applyProtection="1">
      <alignment horizontal="center" vertical="center" wrapText="1"/>
      <protection locked="0"/>
    </xf>
    <xf numFmtId="0" fontId="0" fillId="0" borderId="10" xfId="1595" applyFont="1" applyBorder="1" applyAlignment="1" applyProtection="1">
      <alignment horizontal="left" vertical="center" wrapText="1"/>
      <protection locked="0"/>
    </xf>
    <xf numFmtId="0" fontId="0" fillId="0" borderId="10" xfId="1595" applyFont="1" applyFill="1" applyBorder="1" applyAlignment="1" applyProtection="1">
      <alignment horizontal="right" vertical="center" shrinkToFit="1"/>
      <protection locked="0"/>
    </xf>
    <xf numFmtId="2" fontId="0" fillId="0" borderId="10" xfId="1595" applyNumberFormat="1" applyFont="1" applyBorder="1" applyAlignment="1" applyProtection="1">
      <alignment horizontal="right" vertical="center" shrinkToFit="1"/>
      <protection locked="0"/>
    </xf>
    <xf numFmtId="0" fontId="0" fillId="0" borderId="10" xfId="1595" applyFont="1" applyBorder="1" applyAlignment="1" applyProtection="1">
      <alignment horizontal="right" vertical="center" shrinkToFit="1"/>
      <protection locked="0"/>
    </xf>
    <xf numFmtId="0" fontId="0" fillId="0" borderId="10" xfId="1595" applyFont="1" applyBorder="1" applyAlignment="1" applyProtection="1">
      <alignment vertical="center" shrinkToFit="1"/>
      <protection locked="0"/>
    </xf>
    <xf numFmtId="0" fontId="0" fillId="0" borderId="10" xfId="1595" applyFont="1" applyFill="1" applyBorder="1" applyAlignment="1" applyProtection="1">
      <alignment horizontal="right" vertical="center" shrinkToFit="1"/>
      <protection/>
    </xf>
    <xf numFmtId="2" fontId="0" fillId="0" borderId="10" xfId="1595" applyNumberFormat="1" applyFont="1" applyBorder="1" applyAlignment="1" applyProtection="1">
      <alignment vertical="center" shrinkToFit="1"/>
      <protection/>
    </xf>
    <xf numFmtId="0" fontId="0" fillId="0" borderId="10" xfId="1595" applyFont="1" applyBorder="1" applyAlignment="1" applyProtection="1">
      <alignment vertical="center" shrinkToFit="1"/>
      <protection/>
    </xf>
    <xf numFmtId="0" fontId="0" fillId="0" borderId="19" xfId="1595" applyFont="1" applyFill="1" applyBorder="1" applyAlignment="1" applyProtection="1">
      <alignment horizontal="right" vertical="center" wrapText="1" shrinkToFit="1"/>
      <protection/>
    </xf>
    <xf numFmtId="0" fontId="0" fillId="0" borderId="19" xfId="1595" applyFont="1" applyFill="1" applyBorder="1" applyAlignment="1" applyProtection="1">
      <alignment vertical="center" wrapText="1" shrinkToFit="1"/>
      <protection/>
    </xf>
    <xf numFmtId="0" fontId="0" fillId="0" borderId="10" xfId="1595" applyFont="1" applyBorder="1" applyAlignment="1" applyProtection="1">
      <alignment vertical="center" wrapText="1" shrinkToFit="1"/>
      <protection locked="0"/>
    </xf>
    <xf numFmtId="0" fontId="0" fillId="0" borderId="12" xfId="1595" applyFont="1" applyFill="1" applyBorder="1" applyAlignment="1" applyProtection="1">
      <alignment horizontal="right" vertical="center" wrapText="1" shrinkToFit="1"/>
      <protection/>
    </xf>
    <xf numFmtId="0" fontId="0" fillId="0" borderId="12" xfId="1595" applyFont="1" applyFill="1" applyBorder="1" applyAlignment="1" applyProtection="1">
      <alignment vertical="center" wrapText="1" shrinkToFit="1"/>
      <protection/>
    </xf>
    <xf numFmtId="0" fontId="0" fillId="0" borderId="10" xfId="1595" applyFont="1" applyBorder="1" applyAlignment="1" applyProtection="1">
      <alignment horizontal="left" vertical="center" shrinkToFit="1"/>
      <protection locked="0"/>
    </xf>
    <xf numFmtId="0" fontId="0" fillId="0" borderId="10" xfId="1595" applyFont="1" applyBorder="1" applyAlignment="1" applyProtection="1">
      <alignment vertical="center" wrapText="1"/>
      <protection locked="0"/>
    </xf>
    <xf numFmtId="0" fontId="0" fillId="0" borderId="10" xfId="1595" applyFont="1" applyBorder="1" applyAlignment="1" applyProtection="1">
      <alignment horizontal="right" vertical="center" shrinkToFit="1"/>
      <protection/>
    </xf>
    <xf numFmtId="0" fontId="0" fillId="0" borderId="19" xfId="1595" applyFont="1" applyFill="1" applyBorder="1" applyAlignment="1" applyProtection="1">
      <alignment horizontal="right" vertical="center" shrinkToFit="1"/>
      <protection/>
    </xf>
    <xf numFmtId="0" fontId="0" fillId="0" borderId="21" xfId="1595" applyFont="1" applyBorder="1" applyAlignment="1" applyProtection="1">
      <alignment vertical="center" wrapText="1"/>
      <protection locked="0"/>
    </xf>
    <xf numFmtId="0" fontId="0" fillId="0" borderId="21" xfId="1595" applyFont="1" applyBorder="1" applyAlignment="1" applyProtection="1">
      <alignment horizontal="center" vertical="center" shrinkToFit="1"/>
      <protection locked="0"/>
    </xf>
    <xf numFmtId="0" fontId="1" fillId="0" borderId="13" xfId="1595" applyFont="1" applyBorder="1" applyAlignment="1" applyProtection="1">
      <alignment vertical="center" wrapText="1"/>
      <protection locked="0"/>
    </xf>
    <xf numFmtId="0" fontId="1" fillId="0" borderId="0" xfId="1595" applyFont="1" applyFill="1" applyBorder="1" applyAlignment="1" applyProtection="1">
      <alignment vertical="center" wrapText="1"/>
      <protection locked="0"/>
    </xf>
    <xf numFmtId="0" fontId="1" fillId="0" borderId="0" xfId="1595" applyFont="1" applyBorder="1" applyAlignment="1" applyProtection="1">
      <alignment vertical="center" wrapText="1"/>
      <protection locked="0"/>
    </xf>
    <xf numFmtId="205" fontId="1" fillId="0" borderId="0" xfId="1595" applyNumberFormat="1" applyFont="1" applyFill="1" applyBorder="1" applyAlignment="1" applyProtection="1">
      <alignment vertical="center" wrapText="1"/>
      <protection locked="0"/>
    </xf>
    <xf numFmtId="0" fontId="10" fillId="0" borderId="0" xfId="1595" applyFont="1" applyProtection="1">
      <alignment/>
      <protection locked="0"/>
    </xf>
    <xf numFmtId="0" fontId="0" fillId="0" borderId="0" xfId="1595" applyFont="1" applyFill="1" applyBorder="1" applyAlignment="1" applyProtection="1">
      <alignment horizontal="center" vertical="center" wrapText="1"/>
      <protection locked="0"/>
    </xf>
    <xf numFmtId="0" fontId="0" fillId="0" borderId="0" xfId="1595" applyFont="1" applyBorder="1" applyAlignment="1" applyProtection="1">
      <alignment horizontal="center" vertical="center" wrapText="1"/>
      <protection locked="0"/>
    </xf>
    <xf numFmtId="0" fontId="0" fillId="0" borderId="0" xfId="0" applyFill="1" applyBorder="1" applyAlignment="1">
      <alignment vertical="center"/>
    </xf>
    <xf numFmtId="0" fontId="0" fillId="0" borderId="0" xfId="0" applyBorder="1" applyAlignment="1">
      <alignment vertical="center"/>
    </xf>
    <xf numFmtId="0" fontId="0" fillId="0" borderId="0" xfId="1595" applyFont="1" applyBorder="1" applyAlignment="1" applyProtection="1">
      <alignment vertical="center" shrinkToFit="1"/>
      <protection/>
    </xf>
    <xf numFmtId="0" fontId="0" fillId="0" borderId="0" xfId="1595" applyFont="1" applyFill="1" applyBorder="1" applyAlignment="1" applyProtection="1">
      <alignment vertical="center"/>
      <protection locked="0"/>
    </xf>
    <xf numFmtId="0" fontId="0" fillId="0" borderId="0" xfId="1595" applyFont="1" applyBorder="1" applyAlignment="1" applyProtection="1">
      <alignment vertical="center"/>
      <protection locked="0"/>
    </xf>
    <xf numFmtId="0" fontId="0" fillId="0" borderId="0" xfId="1595" applyFont="1" applyFill="1" applyBorder="1" applyAlignment="1" applyProtection="1">
      <alignment vertical="center" shrinkToFit="1"/>
      <protection/>
    </xf>
    <xf numFmtId="0" fontId="0" fillId="0" borderId="0" xfId="1595" applyFont="1" applyBorder="1" applyAlignment="1" applyProtection="1">
      <alignment vertical="center" shrinkToFit="1"/>
      <protection locked="0"/>
    </xf>
    <xf numFmtId="0" fontId="0" fillId="0" borderId="0" xfId="1595" applyFont="1" applyFill="1" applyBorder="1" applyAlignment="1" applyProtection="1">
      <alignment vertical="center" shrinkToFit="1"/>
      <protection locked="0"/>
    </xf>
    <xf numFmtId="205" fontId="0" fillId="0" borderId="0" xfId="1595" applyNumberFormat="1" applyFill="1" applyAlignment="1" applyProtection="1">
      <alignment horizontal="right"/>
      <protection locked="0"/>
    </xf>
    <xf numFmtId="206" fontId="0" fillId="0" borderId="0" xfId="1595" applyNumberFormat="1" applyFill="1" applyProtection="1">
      <alignment/>
      <protection locked="0"/>
    </xf>
    <xf numFmtId="205" fontId="23" fillId="0" borderId="0" xfId="0" applyNumberFormat="1" applyFont="1" applyFill="1" applyAlignment="1" applyProtection="1">
      <alignment horizontal="right" vertical="center" wrapText="1"/>
      <protection locked="0"/>
    </xf>
    <xf numFmtId="0" fontId="0" fillId="0" borderId="0" xfId="0" applyFont="1" applyFill="1" applyAlignment="1" applyProtection="1">
      <alignment vertical="center"/>
      <protection locked="0"/>
    </xf>
    <xf numFmtId="205" fontId="0" fillId="0" borderId="0" xfId="0" applyNumberFormat="1" applyFont="1" applyFill="1" applyAlignment="1" applyProtection="1">
      <alignment vertical="center"/>
      <protection locked="0"/>
    </xf>
    <xf numFmtId="205" fontId="0" fillId="0" borderId="0" xfId="0" applyNumberFormat="1" applyFont="1" applyFill="1" applyAlignment="1" applyProtection="1">
      <alignment horizontal="right" vertical="center"/>
      <protection locked="0"/>
    </xf>
    <xf numFmtId="0" fontId="0" fillId="0" borderId="18" xfId="0" applyFont="1" applyFill="1" applyBorder="1" applyAlignment="1" applyProtection="1">
      <alignment vertical="top"/>
      <protection locked="0"/>
    </xf>
    <xf numFmtId="206" fontId="0" fillId="0" borderId="0" xfId="1595" applyNumberFormat="1" applyFont="1" applyFill="1" applyProtection="1">
      <alignment/>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wrapText="1"/>
      <protection locked="0"/>
    </xf>
    <xf numFmtId="205" fontId="0" fillId="0" borderId="19" xfId="0" applyNumberFormat="1" applyFont="1" applyFill="1" applyBorder="1" applyAlignment="1" applyProtection="1">
      <alignment horizontal="center" vertical="center" wrapText="1"/>
      <protection locked="0"/>
    </xf>
    <xf numFmtId="205" fontId="0" fillId="0" borderId="10" xfId="0" applyNumberFormat="1" applyFont="1" applyFill="1" applyBorder="1" applyAlignment="1" applyProtection="1">
      <alignment horizontal="center" vertical="center" wrapText="1"/>
      <protection locked="0"/>
    </xf>
    <xf numFmtId="205" fontId="0" fillId="0" borderId="12"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vertical="center" shrinkToFit="1"/>
      <protection locked="0"/>
    </xf>
    <xf numFmtId="2" fontId="0" fillId="0" borderId="10" xfId="0" applyNumberFormat="1" applyFont="1" applyFill="1" applyBorder="1" applyAlignment="1" applyProtection="1">
      <alignment vertical="center" shrinkToFit="1"/>
      <protection/>
    </xf>
    <xf numFmtId="0" fontId="0" fillId="0" borderId="10" xfId="0" applyFont="1" applyFill="1" applyBorder="1" applyAlignment="1" applyProtection="1">
      <alignment vertical="center" shrinkToFit="1"/>
      <protection/>
    </xf>
    <xf numFmtId="206" fontId="0" fillId="0" borderId="10" xfId="0" applyNumberFormat="1" applyFont="1" applyFill="1" applyBorder="1" applyAlignment="1" applyProtection="1">
      <alignment horizontal="right" vertical="center" shrinkToFit="1"/>
      <protection/>
    </xf>
    <xf numFmtId="205" fontId="0" fillId="0" borderId="10" xfId="0" applyNumberFormat="1" applyFont="1" applyFill="1" applyBorder="1" applyAlignment="1" applyProtection="1">
      <alignment vertical="center" shrinkToFit="1"/>
      <protection locked="0"/>
    </xf>
    <xf numFmtId="0" fontId="0" fillId="0" borderId="10" xfId="0" applyNumberFormat="1" applyFont="1" applyFill="1" applyBorder="1" applyAlignment="1" applyProtection="1">
      <alignment vertical="center" shrinkToFit="1"/>
      <protection/>
    </xf>
    <xf numFmtId="0" fontId="0" fillId="0" borderId="10" xfId="0" applyFont="1" applyFill="1" applyBorder="1" applyAlignment="1" applyProtection="1">
      <alignment horizontal="center" vertical="center" shrinkToFit="1"/>
      <protection locked="0"/>
    </xf>
    <xf numFmtId="0" fontId="23" fillId="0" borderId="0" xfId="0" applyFont="1" applyFill="1" applyAlignment="1">
      <alignment horizontal="center" vertical="center" wrapText="1"/>
    </xf>
    <xf numFmtId="208" fontId="0" fillId="0" borderId="18" xfId="0" applyNumberFormat="1" applyFont="1" applyFill="1" applyBorder="1" applyAlignment="1" applyProtection="1">
      <alignment horizontal="center" vertical="top"/>
      <protection locked="0"/>
    </xf>
    <xf numFmtId="0" fontId="0" fillId="0" borderId="10" xfId="0" applyFont="1" applyFill="1" applyBorder="1" applyAlignment="1" applyProtection="1">
      <alignment vertical="center" shrinkToFit="1"/>
      <protection locked="0"/>
    </xf>
    <xf numFmtId="0" fontId="0" fillId="0" borderId="0" xfId="1595" applyFont="1" applyFill="1" applyProtection="1">
      <alignment/>
      <protection locked="0"/>
    </xf>
    <xf numFmtId="0" fontId="23" fillId="0" borderId="0" xfId="1595" applyFont="1" applyFill="1" applyAlignment="1" applyProtection="1">
      <alignment horizontal="center" vertical="center" wrapText="1"/>
      <protection locked="0"/>
    </xf>
    <xf numFmtId="0" fontId="0" fillId="0" borderId="18" xfId="1595" applyFont="1" applyFill="1" applyBorder="1" applyAlignment="1" applyProtection="1">
      <alignment vertical="top"/>
      <protection locked="0"/>
    </xf>
    <xf numFmtId="0" fontId="0" fillId="0" borderId="10" xfId="1595" applyFont="1" applyFill="1" applyBorder="1" applyAlignment="1" applyProtection="1">
      <alignment horizontal="center" vertical="center" shrinkToFit="1"/>
      <protection locked="0"/>
    </xf>
    <xf numFmtId="0" fontId="1" fillId="0" borderId="10" xfId="1595"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0" fillId="0" borderId="10" xfId="1595" applyFont="1" applyFill="1" applyBorder="1" applyAlignment="1" applyProtection="1">
      <alignment horizontal="left" vertical="center" wrapText="1" shrinkToFit="1"/>
      <protection locked="0"/>
    </xf>
    <xf numFmtId="0" fontId="0" fillId="0" borderId="10" xfId="1595" applyFont="1" applyFill="1" applyBorder="1" applyAlignment="1" applyProtection="1">
      <alignment vertical="center" shrinkToFit="1"/>
      <protection/>
    </xf>
    <xf numFmtId="2" fontId="0" fillId="0" borderId="10" xfId="1595" applyNumberFormat="1" applyFont="1" applyFill="1" applyBorder="1" applyAlignment="1" applyProtection="1">
      <alignment vertical="center" shrinkToFit="1"/>
      <protection/>
    </xf>
    <xf numFmtId="0" fontId="0" fillId="0" borderId="10" xfId="1595" applyFont="1" applyFill="1" applyBorder="1" applyAlignment="1" applyProtection="1">
      <alignment vertical="center" shrinkToFit="1"/>
      <protection locked="0"/>
    </xf>
    <xf numFmtId="0" fontId="0" fillId="0" borderId="10" xfId="1595" applyFont="1" applyFill="1" applyBorder="1" applyAlignment="1" applyProtection="1">
      <alignment vertical="center" wrapText="1" shrinkToFit="1" readingOrder="1"/>
      <protection locked="0"/>
    </xf>
    <xf numFmtId="0" fontId="0" fillId="0" borderId="10" xfId="1595" applyFont="1" applyFill="1" applyBorder="1" applyAlignment="1" applyProtection="1">
      <alignment horizontal="left" vertical="center" shrinkToFit="1"/>
      <protection locked="0"/>
    </xf>
    <xf numFmtId="0" fontId="0" fillId="0" borderId="10" xfId="1595" applyFont="1" applyFill="1" applyBorder="1" applyAlignment="1" applyProtection="1">
      <alignment vertical="center" wrapText="1"/>
      <protection locked="0"/>
    </xf>
    <xf numFmtId="0" fontId="0" fillId="0" borderId="10" xfId="1595" applyFont="1" applyFill="1" applyBorder="1" applyAlignment="1" applyProtection="1">
      <alignment vertical="center" wrapText="1" shrinkToFit="1"/>
      <protection locked="0"/>
    </xf>
    <xf numFmtId="0" fontId="0" fillId="0" borderId="0" xfId="1595" applyFont="1" applyFill="1" applyBorder="1" applyAlignment="1" applyProtection="1">
      <alignment horizontal="left" vertical="center" shrinkToFit="1"/>
      <protection locked="0"/>
    </xf>
    <xf numFmtId="0" fontId="0" fillId="0" borderId="0" xfId="1595" applyFont="1" applyFill="1" applyBorder="1" applyAlignment="1" applyProtection="1">
      <alignment vertical="center"/>
      <protection/>
    </xf>
    <xf numFmtId="0" fontId="1" fillId="0" borderId="0" xfId="1595" applyFont="1" applyFill="1" applyBorder="1" applyAlignment="1" applyProtection="1">
      <alignment horizontal="left" vertical="top" wrapText="1"/>
      <protection locked="0"/>
    </xf>
  </cellXfs>
  <cellStyles count="2029">
    <cellStyle name="Normal" xfId="0"/>
    <cellStyle name="好_银行账户情况表_2010年12月 2" xfId="15"/>
    <cellStyle name="好_高中教师人数（教育厅1.6日提供） 2" xfId="16"/>
    <cellStyle name="好_~5676413 2" xfId="17"/>
    <cellStyle name="Currency [0]" xfId="18"/>
    <cellStyle name="_ET_STYLE_NoName_00__Book1_县公司 4" xfId="19"/>
    <cellStyle name="_8标 - 改" xfId="20"/>
    <cellStyle name="20% - 强调文字颜色 3" xfId="21"/>
    <cellStyle name="_20标调差 3" xfId="22"/>
    <cellStyle name="输入" xfId="23"/>
    <cellStyle name="Accent5 9" xfId="24"/>
    <cellStyle name="_8标houqi" xfId="25"/>
    <cellStyle name="Currency" xfId="26"/>
    <cellStyle name="Accent1 5" xfId="27"/>
    <cellStyle name="常规 3 4 3" xfId="28"/>
    <cellStyle name="Accent2 - 40%" xfId="29"/>
    <cellStyle name="Comma [0]" xfId="30"/>
    <cellStyle name="常规 26 2" xfId="31"/>
    <cellStyle name="40% - 强调文字颜色 3" xfId="32"/>
    <cellStyle name="差_2009年一般性转移支付标准工资_奖励补助测算7.25 3 2" xfId="33"/>
    <cellStyle name="差" xfId="34"/>
    <cellStyle name="Comma" xfId="35"/>
    <cellStyle name="60% - 强调文字颜色 3" xfId="36"/>
    <cellStyle name="_Book1_Book1 2" xfId="37"/>
    <cellStyle name="Hyperlink" xfId="38"/>
    <cellStyle name="Comma [0] 3" xfId="39"/>
    <cellStyle name="Accent2 - 60%" xfId="40"/>
    <cellStyle name="Percent" xfId="41"/>
    <cellStyle name="好_地方配套按人均增幅控制8.31（调整结案率后）xl 2" xfId="42"/>
    <cellStyle name="差_Book1 2" xfId="43"/>
    <cellStyle name="Accent4 5" xfId="44"/>
    <cellStyle name="Followed Hyperlink" xfId="45"/>
    <cellStyle name="差_地方配套按人均增幅控制8.30xl 2" xfId="46"/>
    <cellStyle name="_ET_STYLE_NoName_00__Sheet3" xfId="47"/>
    <cellStyle name="注释" xfId="48"/>
    <cellStyle name="Accent5 - 60% 2 2" xfId="49"/>
    <cellStyle name="60% - 强调文字颜色 2" xfId="50"/>
    <cellStyle name="Accent3 4 2" xfId="51"/>
    <cellStyle name="差_教师绩效工资测算表（离退休按各地上报数测算）2009年1月1日" xfId="52"/>
    <cellStyle name="差_2007年政法部门业务指标" xfId="53"/>
    <cellStyle name="_8标 - 改 3" xfId="54"/>
    <cellStyle name="标题 4" xfId="55"/>
    <cellStyle name="_ET_STYLE_NoName_00_ 4" xfId="56"/>
    <cellStyle name="警告文本" xfId="57"/>
    <cellStyle name="常规 4 4 3" xfId="58"/>
    <cellStyle name="60% - 强调文字颜色 2 2 2" xfId="59"/>
    <cellStyle name="标题" xfId="60"/>
    <cellStyle name="Accent3 - 20% 4 2" xfId="61"/>
    <cellStyle name="Accent1 - 60% 2 2" xfId="62"/>
    <cellStyle name="_1标补充 2" xfId="63"/>
    <cellStyle name="解释性文本" xfId="64"/>
    <cellStyle name="标题 1" xfId="65"/>
    <cellStyle name="0,0_x000d__x000a_NA_x000d__x000a_" xfId="66"/>
    <cellStyle name="标题 2" xfId="67"/>
    <cellStyle name="60% - 强调文字颜色 1" xfId="68"/>
    <cellStyle name="Accent4 2 2" xfId="69"/>
    <cellStyle name="Accent1_Book1" xfId="70"/>
    <cellStyle name="_8标 - 改 2" xfId="71"/>
    <cellStyle name="标题 3" xfId="72"/>
    <cellStyle name="好_银行账户情况表_2010年12月 2 2" xfId="73"/>
    <cellStyle name="好_高中教师人数（教育厅1.6日提供） 2 2" xfId="74"/>
    <cellStyle name="好_~5676413 2 2" xfId="75"/>
    <cellStyle name="60% - 强调文字颜色 4" xfId="76"/>
    <cellStyle name="_20标调差" xfId="77"/>
    <cellStyle name="输出" xfId="78"/>
    <cellStyle name="好_奖励补助测算5.22测试 3" xfId="79"/>
    <cellStyle name="差_2009年一般性转移支付标准工资 2" xfId="80"/>
    <cellStyle name="常规 31" xfId="81"/>
    <cellStyle name="常规 26" xfId="82"/>
    <cellStyle name="_ET_STYLE_NoName_00__Book1_4 3" xfId="83"/>
    <cellStyle name="计算" xfId="84"/>
    <cellStyle name="40% - 强调文字颜色 4 2" xfId="85"/>
    <cellStyle name="_ET_STYLE_NoName_00__县公司" xfId="86"/>
    <cellStyle name="检查单元格" xfId="87"/>
    <cellStyle name="20% - 强调文字颜色 6" xfId="88"/>
    <cellStyle name="强调文字颜色 2" xfId="89"/>
    <cellStyle name="常规 2 2 2 5" xfId="90"/>
    <cellStyle name="链接单元格" xfId="91"/>
    <cellStyle name="汇总" xfId="92"/>
    <cellStyle name="差_Book2" xfId="93"/>
    <cellStyle name="好" xfId="94"/>
    <cellStyle name="差_2009年一般性转移支付标准工资_奖励补助测算7.25 4" xfId="95"/>
    <cellStyle name="20% - Accent3 2" xfId="96"/>
    <cellStyle name="适中" xfId="97"/>
    <cellStyle name="20% - 强调文字颜色 5" xfId="98"/>
    <cellStyle name="好_00省级(定稿) 2 2" xfId="99"/>
    <cellStyle name="强调文字颜色 1" xfId="100"/>
    <cellStyle name="常规 2 2 2 4" xfId="101"/>
    <cellStyle name="20% - 强调文字颜色 1" xfId="102"/>
    <cellStyle name="Accent6 - 20% 2 2" xfId="103"/>
    <cellStyle name="40% - 强调文字颜色 1" xfId="104"/>
    <cellStyle name="_20标调差 2" xfId="105"/>
    <cellStyle name="20% - 强调文字颜色 2" xfId="106"/>
    <cellStyle name="40% - 强调文字颜色 2" xfId="107"/>
    <cellStyle name="千位分隔[0] 2" xfId="108"/>
    <cellStyle name="Accent2 - 40% 2" xfId="109"/>
    <cellStyle name="强调文字颜色 3" xfId="110"/>
    <cellStyle name="常规 2 2 2 6" xfId="111"/>
    <cellStyle name="Accent2 - 40% 3" xfId="112"/>
    <cellStyle name="强调文字颜色 4" xfId="113"/>
    <cellStyle name="常规 2 2 2 7" xfId="114"/>
    <cellStyle name="_20标调差 4" xfId="115"/>
    <cellStyle name="20% - 强调文字颜色 4" xfId="116"/>
    <cellStyle name="40% - 强调文字颜色 4" xfId="117"/>
    <cellStyle name="常规 26 3" xfId="118"/>
    <cellStyle name="Accent2 - 40% 4" xfId="119"/>
    <cellStyle name="强调文字颜色 5" xfId="120"/>
    <cellStyle name="40% - 强调文字颜色 5" xfId="121"/>
    <cellStyle name="Accent3 - 20% 3 2" xfId="122"/>
    <cellStyle name="60% - 强调文字颜色 5" xfId="123"/>
    <cellStyle name="_2期进场 2" xfId="124"/>
    <cellStyle name="强调文字颜色 6" xfId="125"/>
    <cellStyle name="Heading 3 2" xfId="126"/>
    <cellStyle name="_弱电系统设备配置报价清单" xfId="127"/>
    <cellStyle name="0,0&#13;&#10;NA&#13;&#10;" xfId="128"/>
    <cellStyle name="40% - 强调文字颜色 6" xfId="129"/>
    <cellStyle name="60% - 强调文字颜色 6" xfId="130"/>
    <cellStyle name="差_2009年一般性转移支付标准工资_奖励补助测算7.25 (version 1) (version 1) 2" xfId="131"/>
    <cellStyle name=" 1 2" xfId="132"/>
    <cellStyle name="常规 9 2 2" xfId="133"/>
    <cellStyle name="_16调差 2" xfId="134"/>
    <cellStyle name="_21调差 2" xfId="135"/>
    <cellStyle name="Accent6 10" xfId="136"/>
    <cellStyle name="Date 3" xfId="137"/>
    <cellStyle name="Accent1 2" xfId="138"/>
    <cellStyle name=" 1 3" xfId="139"/>
    <cellStyle name=" 1 4" xfId="140"/>
    <cellStyle name="Accent5 2" xfId="141"/>
    <cellStyle name="Accent3 - 20%" xfId="142"/>
    <cellStyle name="差_05玉溪 2 2" xfId="143"/>
    <cellStyle name="Accent5 - 40% 4" xfId="144"/>
    <cellStyle name="?鹎%U龡&amp;H?_x0008__x001C__x001C_?_x0007__x0001__x0001_" xfId="145"/>
    <cellStyle name="Accent3 - 20% 4" xfId="146"/>
    <cellStyle name="Accent1 - 60% 2" xfId="147"/>
    <cellStyle name="_1标补充" xfId="148"/>
    <cellStyle name="_16标修改 2" xfId="149"/>
    <cellStyle name="常规 9 2 3" xfId="150"/>
    <cellStyle name="_16调差 3" xfId="151"/>
    <cellStyle name="_21调差 3" xfId="152"/>
    <cellStyle name="Accent6 11" xfId="153"/>
    <cellStyle name="Date 4" xfId="154"/>
    <cellStyle name="Accent1 3" xfId="155"/>
    <cellStyle name="_16标修改 3" xfId="156"/>
    <cellStyle name="超级链接" xfId="157"/>
    <cellStyle name="Accent1 4" xfId="158"/>
    <cellStyle name="差_2006年在职人员情况 2" xfId="159"/>
    <cellStyle name="_16调差 4" xfId="160"/>
    <cellStyle name="_21调差 4" xfId="161"/>
    <cellStyle name=" 1" xfId="162"/>
    <cellStyle name="?鹎%U龡&amp;H?_x0008__x001c__x001c_?_x0007__x0001__x0001_" xfId="163"/>
    <cellStyle name="Accent6 - 40% 3" xfId="164"/>
    <cellStyle name="_审减汇总 4" xfId="165"/>
    <cellStyle name="_16标修改" xfId="166"/>
    <cellStyle name="Accent5 - 20% 3 2" xfId="167"/>
    <cellStyle name="comma-d 2" xfId="168"/>
    <cellStyle name="_16标修改 4" xfId="169"/>
    <cellStyle name="Accent1" xfId="170"/>
    <cellStyle name="好_第五部分(才淼、饶永宏） 3 2" xfId="171"/>
    <cellStyle name="常规 9 2" xfId="172"/>
    <cellStyle name="_16调差" xfId="173"/>
    <cellStyle name="_21调差" xfId="174"/>
    <cellStyle name="_1标补充 3" xfId="175"/>
    <cellStyle name="_1标补充 4" xfId="176"/>
    <cellStyle name="Accent6 - 20% 4 2" xfId="177"/>
    <cellStyle name="Accent4 - 60% 2 2" xfId="178"/>
    <cellStyle name="_1标改价差1" xfId="179"/>
    <cellStyle name="_1标改价差1 2" xfId="180"/>
    <cellStyle name="_Book1_3 3" xfId="181"/>
    <cellStyle name="_1标改价差1 3" xfId="182"/>
    <cellStyle name="_Book1_3 4" xfId="183"/>
    <cellStyle name="_1标改价差1 4" xfId="184"/>
    <cellStyle name="小数 3" xfId="185"/>
    <cellStyle name="_有单价 2" xfId="186"/>
    <cellStyle name="千位分隔 8" xfId="187"/>
    <cellStyle name="好_2006年全省财力计算表（中央、决算） 3 2" xfId="188"/>
    <cellStyle name="_ET_STYLE_NoName_00__Book1 4" xfId="189"/>
    <cellStyle name="_20100326高清市院遂宁检察院1080P配置清单26日改" xfId="190"/>
    <cellStyle name="Accent2 8" xfId="191"/>
    <cellStyle name="_20100326高清市院遂宁检察院1080P配置清单26日改 2" xfId="192"/>
    <cellStyle name="Accent2 9" xfId="193"/>
    <cellStyle name="_Book1 2" xfId="194"/>
    <cellStyle name="_20100326高清市院遂宁检察院1080P配置清单26日改 3" xfId="195"/>
    <cellStyle name="20% - 强调文字颜色 5 2 2" xfId="196"/>
    <cellStyle name="_Book1 3" xfId="197"/>
    <cellStyle name="_20100326高清市院遂宁检察院1080P配置清单26日改 4" xfId="198"/>
    <cellStyle name="Accent3 3 2" xfId="199"/>
    <cellStyle name="表标题 3" xfId="200"/>
    <cellStyle name="Total 2" xfId="201"/>
    <cellStyle name="_2期进场价差 4" xfId="202"/>
    <cellStyle name="差_2009年一般性转移支付标准工资_~4190974 2 2" xfId="203"/>
    <cellStyle name="_26标调价差" xfId="204"/>
    <cellStyle name="_新建 Microsoft Excel 工作表 3" xfId="205"/>
    <cellStyle name="_26标调价差 2" xfId="206"/>
    <cellStyle name="好_2009年一般性转移支付标准工资_~4190974" xfId="207"/>
    <cellStyle name="Accent3 - 60%" xfId="208"/>
    <cellStyle name="差_地方配套按人均增幅控制8.30xl 2 2" xfId="209"/>
    <cellStyle name="_新建 Microsoft Excel 工作表 4" xfId="210"/>
    <cellStyle name="_26标调价差 3" xfId="211"/>
    <cellStyle name="好_2009年一般性转移支付标准工资_地方配套按人均增幅控制8.31（调整结案率后）xl" xfId="212"/>
    <cellStyle name="_ET_STYLE_NoName_00__Book1_3 2" xfId="213"/>
    <cellStyle name="40% - 强调文字颜色 3 2 2" xfId="214"/>
    <cellStyle name="计算 2 2 2" xfId="215"/>
    <cellStyle name="_26标调价差 4" xfId="216"/>
    <cellStyle name="常规 2 9 4" xfId="217"/>
    <cellStyle name="差_云南农村义务教育统计表" xfId="218"/>
    <cellStyle name="Accent2 - 40% 3 2" xfId="219"/>
    <cellStyle name="强调文字颜色 4 2" xfId="220"/>
    <cellStyle name="60% - Accent5" xfId="221"/>
    <cellStyle name="PSChar 2" xfId="222"/>
    <cellStyle name="_29(最终)" xfId="223"/>
    <cellStyle name="强调文字颜色 4 2 2" xfId="224"/>
    <cellStyle name="60% - Accent5 2" xfId="225"/>
    <cellStyle name="_29(最终) 2" xfId="226"/>
    <cellStyle name="60% - 强调文字颜色 5 2 2" xfId="227"/>
    <cellStyle name="_29(最终) 3" xfId="228"/>
    <cellStyle name="_29(最终) 4" xfId="229"/>
    <cellStyle name="Accent4 3" xfId="230"/>
    <cellStyle name="差_基础数据分析 2" xfId="231"/>
    <cellStyle name="_29合同段清单核查(管理处)30" xfId="232"/>
    <cellStyle name="Accent4 3 2" xfId="233"/>
    <cellStyle name="New Times Roman 2" xfId="234"/>
    <cellStyle name="Accent3 - 40%" xfId="235"/>
    <cellStyle name="差_基础数据分析 2 2" xfId="236"/>
    <cellStyle name="_29合同段清单核查(管理处)30 2" xfId="237"/>
    <cellStyle name="Accent5 - 60% 3 2" xfId="238"/>
    <cellStyle name="_ET_STYLE_NoName_00__Book1_1 2" xfId="239"/>
    <cellStyle name="_29合同段清单核查(管理处)30 3" xfId="240"/>
    <cellStyle name="_ET_STYLE_NoName_00__Book1_1 3" xfId="241"/>
    <cellStyle name="_29合同段清单核查(管理处)30 4" xfId="242"/>
    <cellStyle name="Accent4 - 20%" xfId="243"/>
    <cellStyle name="_2标补充" xfId="244"/>
    <cellStyle name="Accent4 - 20% 2" xfId="245"/>
    <cellStyle name="_2标补充 2" xfId="246"/>
    <cellStyle name="Accent4 - 20% 3" xfId="247"/>
    <cellStyle name="差_1003牟定县" xfId="248"/>
    <cellStyle name="60% - Accent1 2" xfId="249"/>
    <cellStyle name="千分位_ 白土" xfId="250"/>
    <cellStyle name="_2标补充 3" xfId="251"/>
    <cellStyle name="Accent4 - 20% 4" xfId="252"/>
    <cellStyle name="_2标补充 4" xfId="253"/>
    <cellStyle name="Accent2 - 60% 2" xfId="254"/>
    <cellStyle name="_2期进场" xfId="255"/>
    <cellStyle name="_2期进场 3" xfId="256"/>
    <cellStyle name="好_~4190974 3 2" xfId="257"/>
    <cellStyle name="_2期进场 4" xfId="258"/>
    <cellStyle name="_2期进场价差" xfId="259"/>
    <cellStyle name="_2期进场价差 2" xfId="260"/>
    <cellStyle name="表标题 2" xfId="261"/>
    <cellStyle name="_2期进场价差 3" xfId="262"/>
    <cellStyle name="Accent6 - 40% 3 2" xfId="263"/>
    <cellStyle name="_5标" xfId="264"/>
    <cellStyle name="_ET_STYLE_NoName_00__Book1_4" xfId="265"/>
    <cellStyle name="_5标 2" xfId="266"/>
    <cellStyle name="_5标 3" xfId="267"/>
    <cellStyle name="Accent3 - 40% 2 2" xfId="268"/>
    <cellStyle name="好_0502通海县 2 2" xfId="269"/>
    <cellStyle name="_5标 4" xfId="270"/>
    <cellStyle name="_8标 - 改 4" xfId="271"/>
    <cellStyle name="_8标houqi 2" xfId="272"/>
    <cellStyle name="PSSpacer 2" xfId="273"/>
    <cellStyle name="Accent4 - 60% 3 2" xfId="274"/>
    <cellStyle name="_8标houqi 3" xfId="275"/>
    <cellStyle name="Accent4 - 40%" xfId="276"/>
    <cellStyle name="_8标houqi 4" xfId="277"/>
    <cellStyle name="常规 2 7 2" xfId="278"/>
    <cellStyle name="_Book1" xfId="279"/>
    <cellStyle name="_Book1 4" xfId="280"/>
    <cellStyle name="_Book1_1" xfId="281"/>
    <cellStyle name="好_汇总-县级财政报表附表 2" xfId="282"/>
    <cellStyle name="40% - Accent1" xfId="283"/>
    <cellStyle name="_Book1_1 2" xfId="284"/>
    <cellStyle name="常规 3 2 3" xfId="285"/>
    <cellStyle name="Accent2 - 20%" xfId="286"/>
    <cellStyle name="_Book1_2" xfId="287"/>
    <cellStyle name="Accent2 - 20% 2" xfId="288"/>
    <cellStyle name="_Book1_2 2" xfId="289"/>
    <cellStyle name="差_财政支出对上级的依赖程度 2" xfId="290"/>
    <cellStyle name="Accent2 - 20% 3" xfId="291"/>
    <cellStyle name="_Book1_2 3" xfId="292"/>
    <cellStyle name="Accent2 - 20% 4" xfId="293"/>
    <cellStyle name="好_530623_2006年县级财政报表附表 2" xfId="294"/>
    <cellStyle name="_Book1_2 4" xfId="295"/>
    <cellStyle name="好_云南农村义务教育统计表 3" xfId="296"/>
    <cellStyle name="超级链接 2" xfId="297"/>
    <cellStyle name="Accent1 4 2" xfId="298"/>
    <cellStyle name="_Book1_3" xfId="299"/>
    <cellStyle name="_Book1_3 2" xfId="300"/>
    <cellStyle name="_Book1_Book1" xfId="301"/>
    <cellStyle name="_ET_STYLE_NoName_00_" xfId="302"/>
    <cellStyle name="好_Book1_2 2 2" xfId="303"/>
    <cellStyle name="_ET_STYLE_NoName_00__Sheet3 3" xfId="304"/>
    <cellStyle name="_新建 Microsoft Excel 工作表" xfId="305"/>
    <cellStyle name="_ET_STYLE_NoName_00_ 2" xfId="306"/>
    <cellStyle name="好_Book1 2" xfId="307"/>
    <cellStyle name="_ET_STYLE_NoName_00__Sheet3 4" xfId="308"/>
    <cellStyle name="_ET_STYLE_NoName_00_ 3" xfId="309"/>
    <cellStyle name="强调 1 4" xfId="310"/>
    <cellStyle name="_ET_STYLE_NoName_00__Book1" xfId="311"/>
    <cellStyle name="强调 1 4 2" xfId="312"/>
    <cellStyle name="千位分隔 6" xfId="313"/>
    <cellStyle name="_ET_STYLE_NoName_00__Book1 2" xfId="314"/>
    <cellStyle name="千位分隔 7" xfId="315"/>
    <cellStyle name="_ET_STYLE_NoName_00__Book1 3" xfId="316"/>
    <cellStyle name="Accent5 - 60% 3" xfId="317"/>
    <cellStyle name="_ET_STYLE_NoName_00__Book1_1" xfId="318"/>
    <cellStyle name="_ET_STYLE_NoName_00__Book1_1 4" xfId="319"/>
    <cellStyle name="Accent4 - 40% 4" xfId="320"/>
    <cellStyle name="Accent2 - 40% 4 2" xfId="321"/>
    <cellStyle name="_ET_STYLE_NoName_00__Book1_1_县公司" xfId="322"/>
    <cellStyle name="Accent4 - 40% 4 2" xfId="323"/>
    <cellStyle name="_ET_STYLE_NoName_00__Book1_1_县公司 2" xfId="324"/>
    <cellStyle name="60% - 强调文字颜色 6 2 2" xfId="325"/>
    <cellStyle name="_ET_STYLE_NoName_00__Book1_1_县公司 3" xfId="326"/>
    <cellStyle name="_ET_STYLE_NoName_00__Book1_1_县公司 4" xfId="327"/>
    <cellStyle name="_ET_STYLE_NoName_00__Book1_1_银行账户情况表_2010年12月" xfId="328"/>
    <cellStyle name="_本部汇总" xfId="329"/>
    <cellStyle name="_ET_STYLE_NoName_00__Book1_1_银行账户情况表_2010年12月 2" xfId="330"/>
    <cellStyle name="_ET_STYLE_NoName_00__Book1_1_银行账户情况表_2010年12月 3" xfId="331"/>
    <cellStyle name="_ET_STYLE_NoName_00__Book1_1_银行账户情况表_2010年12月 4" xfId="332"/>
    <cellStyle name="Accent5 - 20%" xfId="333"/>
    <cellStyle name="Accent1 - 20% 2 2" xfId="334"/>
    <cellStyle name="_ET_STYLE_NoName_00__Book1_2" xfId="335"/>
    <cellStyle name="差_义务教育阶段教职工人数（教育厅提供最终）" xfId="336"/>
    <cellStyle name="Accent5 - 20% 2" xfId="337"/>
    <cellStyle name="注释 2 5" xfId="338"/>
    <cellStyle name="_ET_STYLE_NoName_00__Book1_2 2" xfId="339"/>
    <cellStyle name="Accent5 - 20% 3" xfId="340"/>
    <cellStyle name="comma-d" xfId="341"/>
    <cellStyle name="_ET_STYLE_NoName_00__Book1_2 3" xfId="342"/>
    <cellStyle name="Accent5 - 20% 4" xfId="343"/>
    <cellStyle name="好_2009年一般性转移支付标准工资_~4190974 2" xfId="344"/>
    <cellStyle name="Accent3 - 60% 2" xfId="345"/>
    <cellStyle name="_ET_STYLE_NoName_00__Book1_2 4" xfId="346"/>
    <cellStyle name="_ET_STYLE_NoName_00__Book1_3" xfId="347"/>
    <cellStyle name="40% - 强调文字颜色 3 2" xfId="348"/>
    <cellStyle name="常规 30" xfId="349"/>
    <cellStyle name="常规 25" xfId="350"/>
    <cellStyle name="_ET_STYLE_NoName_00__Book1_4 2" xfId="351"/>
    <cellStyle name="常规 32" xfId="352"/>
    <cellStyle name="常规 27" xfId="353"/>
    <cellStyle name="_ET_STYLE_NoName_00__Book1_4 4" xfId="354"/>
    <cellStyle name="HEADING1 3" xfId="355"/>
    <cellStyle name="_ET_STYLE_NoName_00__Book1_县公司" xfId="356"/>
    <cellStyle name="_ET_STYLE_NoName_00__Book1_县公司 2" xfId="357"/>
    <cellStyle name="_ET_STYLE_NoName_00__Book1_县公司 3" xfId="358"/>
    <cellStyle name="好_2009年一般性转移支付标准工资_奖励补助测算5.22测试 2 2" xfId="359"/>
    <cellStyle name="差_2007年检察院案件数 2" xfId="360"/>
    <cellStyle name="Accent3 2" xfId="361"/>
    <cellStyle name="_ET_STYLE_NoName_00__Book1_银行账户情况表_2010年12月" xfId="362"/>
    <cellStyle name="差_2007年检察院案件数 2 2" xfId="363"/>
    <cellStyle name="Accent3 2 2" xfId="364"/>
    <cellStyle name="Accent2 10" xfId="365"/>
    <cellStyle name="好_银行账户情况表_2010年12月 3" xfId="366"/>
    <cellStyle name="好_高中教师人数（教育厅1.6日提供） 3" xfId="367"/>
    <cellStyle name="好_~5676413 3" xfId="368"/>
    <cellStyle name="_ET_STYLE_NoName_00__Book1_银行账户情况表_2010年12月 2" xfId="369"/>
    <cellStyle name="好_奖励补助测算7.25 5 2" xfId="370"/>
    <cellStyle name="Accent2 11" xfId="371"/>
    <cellStyle name="_ET_STYLE_NoName_00__Book1_银行账户情况表_2010年12月 3" xfId="372"/>
    <cellStyle name="差_2006年基础数据 2" xfId="373"/>
    <cellStyle name="Accent1 - 40% 2" xfId="374"/>
    <cellStyle name="_ET_STYLE_NoName_00__Book1_银行账户情况表_2010年12月 4" xfId="375"/>
    <cellStyle name="_ET_STYLE_NoName_00__Sheet1" xfId="376"/>
    <cellStyle name="Accent6 - 60% 2 2" xfId="377"/>
    <cellStyle name="args.style 4" xfId="378"/>
    <cellStyle name="20% - Accent4 2" xfId="379"/>
    <cellStyle name="_ET_STYLE_NoName_00__Sheet1 2" xfId="380"/>
    <cellStyle name="_ET_STYLE_NoName_00__Sheet1 3" xfId="381"/>
    <cellStyle name="好_Book1" xfId="382"/>
    <cellStyle name="_ET_STYLE_NoName_00__Sheet1 4" xfId="383"/>
    <cellStyle name="_ET_STYLE_NoName_00__Sheet3 2" xfId="384"/>
    <cellStyle name="好_Book1_县公司 2" xfId="385"/>
    <cellStyle name="好_2006年分析表 2" xfId="386"/>
    <cellStyle name="40% - 强调文字颜色 5 2 2" xfId="387"/>
    <cellStyle name="差_奖励补助测算7.25 (version 1) (version 1)" xfId="388"/>
    <cellStyle name="_ET_STYLE_NoName_00__建行" xfId="389"/>
    <cellStyle name="差_奖励补助测算7.25 (version 1) (version 1) 2" xfId="390"/>
    <cellStyle name="Check Cell" xfId="391"/>
    <cellStyle name="_ET_STYLE_NoName_00__建行 2" xfId="392"/>
    <cellStyle name="40% - 强调文字颜色 4 2 2" xfId="393"/>
    <cellStyle name="_ET_STYLE_NoName_00__县公司 2" xfId="394"/>
    <cellStyle name="好_M01-2(州市补助收入) 3 2" xfId="395"/>
    <cellStyle name="Accent6 - 20%" xfId="396"/>
    <cellStyle name="_ET_STYLE_NoName_00__银行账户情况表_2010年12月" xfId="397"/>
    <cellStyle name="Accent6 - 20% 2" xfId="398"/>
    <cellStyle name="_ET_STYLE_NoName_00__银行账户情况表_2010年12月 2" xfId="399"/>
    <cellStyle name="_ET_STYLE_NoName_00__云南水利电力有限公司" xfId="400"/>
    <cellStyle name="_ET_STYLE_NoName_00__云南水利电力有限公司 2" xfId="401"/>
    <cellStyle name="Accent4 9" xfId="402"/>
    <cellStyle name="强调文字颜色 2 2 2" xfId="403"/>
    <cellStyle name="20% - Accent1" xfId="404"/>
    <cellStyle name="Accent1 - 20%" xfId="405"/>
    <cellStyle name="_ET_STYLE_NoName_00__重点项目表2012 (2)" xfId="406"/>
    <cellStyle name="20% - Accent1 2" xfId="407"/>
    <cellStyle name="Accent1 - 20% 2" xfId="408"/>
    <cellStyle name="_ET_STYLE_NoName_00__重点项目表2012 (2) 2" xfId="409"/>
    <cellStyle name="20% - Accent1 3" xfId="410"/>
    <cellStyle name="Accent1 - 20% 3" xfId="411"/>
    <cellStyle name="6mal 2" xfId="412"/>
    <cellStyle name="_ET_STYLE_NoName_00__重点项目表2012 (2) 3" xfId="413"/>
    <cellStyle name="Accent1 - 20% 4" xfId="414"/>
    <cellStyle name="6mal 3" xfId="415"/>
    <cellStyle name="_ET_STYLE_NoName_00__重点项目表2012 (2) 4" xfId="416"/>
    <cellStyle name="未定义 4" xfId="417"/>
    <cellStyle name="_Sheet1" xfId="418"/>
    <cellStyle name="_Sheet1 2" xfId="419"/>
    <cellStyle name="_Sheet1 3" xfId="420"/>
    <cellStyle name="_Sheet1 4" xfId="421"/>
    <cellStyle name="_本部汇总 2" xfId="422"/>
    <cellStyle name="Accent1 3 2" xfId="423"/>
    <cellStyle name="_本部汇总 3" xfId="424"/>
    <cellStyle name="20% - 强调文字颜色 2 2" xfId="425"/>
    <cellStyle name="_本部汇总 4" xfId="426"/>
    <cellStyle name="60% - Accent3 2" xfId="427"/>
    <cellStyle name="_表二" xfId="428"/>
    <cellStyle name="60% - Accent3 2 2" xfId="429"/>
    <cellStyle name="_表二 2" xfId="430"/>
    <cellStyle name="t_HVAC Equipment (3)_Book1 2" xfId="431"/>
    <cellStyle name="20% - 强调文字颜色 1 2 2" xfId="432"/>
    <cellStyle name="_表二 3" xfId="433"/>
    <cellStyle name="_表二 4" xfId="434"/>
    <cellStyle name="40% - 强调文字颜色 2 2" xfId="435"/>
    <cellStyle name="_南方电网" xfId="436"/>
    <cellStyle name="_南方电网 2" xfId="437"/>
    <cellStyle name="_南方电网 3" xfId="438"/>
    <cellStyle name="_南方电网 4" xfId="439"/>
    <cellStyle name="好_下半年禁毒办案经费分配2544.3万元" xfId="440"/>
    <cellStyle name="好 3 3" xfId="441"/>
    <cellStyle name="40% - 强调文字颜色 6 2" xfId="442"/>
    <cellStyle name="Heading 3 2 2" xfId="443"/>
    <cellStyle name="_弱电系统设备配置报价清单 2" xfId="444"/>
    <cellStyle name="_弱电系统设备配置报价清单 3" xfId="445"/>
    <cellStyle name="60% - 强调文字颜色 4 2 2" xfId="446"/>
    <cellStyle name="Neutral 2" xfId="447"/>
    <cellStyle name="_弱电系统设备配置报价清单 4" xfId="448"/>
    <cellStyle name="_审减汇总" xfId="449"/>
    <cellStyle name="Accent2 - 20% 3 2" xfId="450"/>
    <cellStyle name="_审减汇总 2" xfId="451"/>
    <cellStyle name="商品名称 4" xfId="452"/>
    <cellStyle name="Accent6 - 40% 2" xfId="453"/>
    <cellStyle name="Accent4 - 40% 2 2" xfId="454"/>
    <cellStyle name="_审减汇总 3" xfId="455"/>
    <cellStyle name="_新建 Microsoft Excel 工作表 2" xfId="456"/>
    <cellStyle name="_有单价" xfId="457"/>
    <cellStyle name="60% - Accent5 2 2" xfId="458"/>
    <cellStyle name="小数 4" xfId="459"/>
    <cellStyle name="_有单价 3" xfId="460"/>
    <cellStyle name="20% - 强调文字颜色 3 2 2" xfId="461"/>
    <cellStyle name="好_03昭通 2" xfId="462"/>
    <cellStyle name="_有单价 4" xfId="463"/>
    <cellStyle name="60% - 强调文字颜色 3 2 2" xfId="464"/>
    <cellStyle name="20% - Accent2" xfId="465"/>
    <cellStyle name="20% - Accent2 2" xfId="466"/>
    <cellStyle name="差_2009年一般性转移支付标准工资" xfId="467"/>
    <cellStyle name="20% - Accent2 3" xfId="468"/>
    <cellStyle name="20% - Accent3" xfId="469"/>
    <cellStyle name="60% - 强调文字颜色 1 2" xfId="470"/>
    <cellStyle name="20% - Accent3 3" xfId="471"/>
    <cellStyle name="Accent6 - 60% 2" xfId="472"/>
    <cellStyle name="20% - Accent4" xfId="473"/>
    <cellStyle name="60% - 强调文字颜色 2 2" xfId="474"/>
    <cellStyle name="20% - Accent4 3" xfId="475"/>
    <cellStyle name="好_银行账户情况表_2010年12月 3 2" xfId="476"/>
    <cellStyle name="好_高中教师人数（教育厅1.6日提供） 3 2" xfId="477"/>
    <cellStyle name="好_~5676413 3 2" xfId="478"/>
    <cellStyle name="Accent6 - 60% 3" xfId="479"/>
    <cellStyle name="20% - Accent5" xfId="480"/>
    <cellStyle name="Accent6 - 60% 3 2" xfId="481"/>
    <cellStyle name="Accent1 11" xfId="482"/>
    <cellStyle name="20% - Accent5 2" xfId="483"/>
    <cellStyle name="60% - 强调文字颜色 3 2" xfId="484"/>
    <cellStyle name="20% - Accent5 3" xfId="485"/>
    <cellStyle name="20% - Accent6" xfId="486"/>
    <cellStyle name="差_业务工作量指标" xfId="487"/>
    <cellStyle name="20% - Accent6 2" xfId="488"/>
    <cellStyle name="60% - 强调文字颜色 4 2" xfId="489"/>
    <cellStyle name="20% - Accent6 3" xfId="490"/>
    <cellStyle name="t_HVAC Equipment (3)_Book1" xfId="491"/>
    <cellStyle name="20% - 强调文字颜色 1 2" xfId="492"/>
    <cellStyle name="差_汇总-县级财政报表附表 3" xfId="493"/>
    <cellStyle name="20% - 强调文字颜色 2 2 2" xfId="494"/>
    <cellStyle name="20% - 强调文字颜色 3 2" xfId="495"/>
    <cellStyle name="args.style 3" xfId="496"/>
    <cellStyle name="20% - 强调文字颜色 4 2" xfId="497"/>
    <cellStyle name="20% - 强调文字颜色 4 2 2" xfId="498"/>
    <cellStyle name="常规 8 2 2" xfId="499"/>
    <cellStyle name="Accent1 10" xfId="500"/>
    <cellStyle name="20% - 强调文字颜色 5 2" xfId="501"/>
    <cellStyle name="20% - 强调文字颜色 6 2" xfId="502"/>
    <cellStyle name="20% - 强调文字颜色 6 2 2" xfId="503"/>
    <cellStyle name="Accent6 - 20% 3" xfId="504"/>
    <cellStyle name="好_汇总-县级财政报表附表 2 2" xfId="505"/>
    <cellStyle name="差_银行账户情况表_2010年12月" xfId="506"/>
    <cellStyle name="40% - Accent1 2" xfId="507"/>
    <cellStyle name="好_奖励补助测算5.22测试 2" xfId="508"/>
    <cellStyle name="40% - Accent1 3" xfId="509"/>
    <cellStyle name="好_汇总-县级财政报表附表 3" xfId="510"/>
    <cellStyle name="40% - Accent2" xfId="511"/>
    <cellStyle name="好_汇总-县级财政报表附表 3 2" xfId="512"/>
    <cellStyle name="40% - Accent2 2" xfId="513"/>
    <cellStyle name="40% - Accent2 3" xfId="514"/>
    <cellStyle name="好_汇总-县级财政报表附表 4" xfId="515"/>
    <cellStyle name="40% - Accent3" xfId="516"/>
    <cellStyle name="好_汇总-县级财政报表附表 4 2" xfId="517"/>
    <cellStyle name="40% - Accent3 2" xfId="518"/>
    <cellStyle name="40% - Accent3 3" xfId="519"/>
    <cellStyle name="Normal - Style1" xfId="520"/>
    <cellStyle name="40% - Accent4" xfId="521"/>
    <cellStyle name="Normal - Style1 2" xfId="522"/>
    <cellStyle name="40% - Accent4 2" xfId="523"/>
    <cellStyle name="Normal - Style1 3" xfId="524"/>
    <cellStyle name="40% - Accent4 3" xfId="525"/>
    <cellStyle name="警告文本 2" xfId="526"/>
    <cellStyle name="40% - Accent5" xfId="527"/>
    <cellStyle name="警告文本 2 2" xfId="528"/>
    <cellStyle name="40% - Accent5 2" xfId="529"/>
    <cellStyle name="40% - Accent5 3" xfId="530"/>
    <cellStyle name="好_奖励补助测算7.23 3 2" xfId="531"/>
    <cellStyle name="40% - Accent6" xfId="532"/>
    <cellStyle name="40% - Accent6 2" xfId="533"/>
    <cellStyle name="40% - Accent6 3" xfId="534"/>
    <cellStyle name="40% - 强调文字颜色 1 2" xfId="535"/>
    <cellStyle name="40% - 强调文字颜色 1 2 2" xfId="536"/>
    <cellStyle name="comma zerodec 4" xfId="537"/>
    <cellStyle name="40% - 强调文字颜色 2 2 2" xfId="538"/>
    <cellStyle name="好_Book1_县公司" xfId="539"/>
    <cellStyle name="好_2006年分析表" xfId="540"/>
    <cellStyle name="40% - 强调文字颜色 5 2" xfId="541"/>
    <cellStyle name="差_03昭通 2" xfId="542"/>
    <cellStyle name="Accent2 5" xfId="543"/>
    <cellStyle name="好_下半年禁毒办案经费分配2544.3万元 2" xfId="544"/>
    <cellStyle name="好 3 3 2" xfId="545"/>
    <cellStyle name="40% - 强调文字颜色 6 2 2" xfId="546"/>
    <cellStyle name="60% - Accent1" xfId="547"/>
    <cellStyle name="常规 7" xfId="548"/>
    <cellStyle name="Accent4 - 20% 3 2" xfId="549"/>
    <cellStyle name="差_1003牟定县 2" xfId="550"/>
    <cellStyle name="60% - Accent1 2 2" xfId="551"/>
    <cellStyle name="Accent6 - 40% 4 2" xfId="552"/>
    <cellStyle name="60% - Accent2" xfId="553"/>
    <cellStyle name="60% - Accent2 2" xfId="554"/>
    <cellStyle name="60% - Accent2 2 2" xfId="555"/>
    <cellStyle name="Accent4_Book1" xfId="556"/>
    <cellStyle name="60% - Accent3" xfId="557"/>
    <cellStyle name="per.style" xfId="558"/>
    <cellStyle name="60% - Accent4" xfId="559"/>
    <cellStyle name="per.style 2" xfId="560"/>
    <cellStyle name="60% - Accent4 2" xfId="561"/>
    <cellStyle name="好_检验表（调整后）" xfId="562"/>
    <cellStyle name="60% - Accent4 2 2" xfId="563"/>
    <cellStyle name="Accent2 2 2" xfId="564"/>
    <cellStyle name="60% - Accent6" xfId="565"/>
    <cellStyle name="60% - Accent6 2" xfId="566"/>
    <cellStyle name="Norma,_laroux_4_营业在建 (2)_E21" xfId="567"/>
    <cellStyle name="60% - Accent6 2 2" xfId="568"/>
    <cellStyle name="60% - 强调文字颜色 1 2 2" xfId="569"/>
    <cellStyle name="60% - 强调文字颜色 5 2" xfId="570"/>
    <cellStyle name="差_2009年一般性转移支付标准工资_奖励补助测算7.25 (version 1) (version 1) 2 2" xfId="571"/>
    <cellStyle name="60% - 强调文字颜色 6 2" xfId="572"/>
    <cellStyle name="好_奖励补助测算7.25 (version 1) (version 1) 3 2" xfId="573"/>
    <cellStyle name="6mal" xfId="574"/>
    <cellStyle name="差_汇总-县级财政报表附表 2 2" xfId="575"/>
    <cellStyle name="6mal 4" xfId="576"/>
    <cellStyle name="常规 13 4" xfId="577"/>
    <cellStyle name="Accent3_Book1" xfId="578"/>
    <cellStyle name="Accent1 - 20% 3 2" xfId="579"/>
    <cellStyle name="Accent5 - 40%" xfId="580"/>
    <cellStyle name="Accent1 - 20% 4 2" xfId="581"/>
    <cellStyle name="差_2006年基础数据" xfId="582"/>
    <cellStyle name="Accent1 - 40%" xfId="583"/>
    <cellStyle name="差_2006年基础数据 2 2" xfId="584"/>
    <cellStyle name="Accent1 - 40% 2 2" xfId="585"/>
    <cellStyle name="Accent1 - 40% 3" xfId="586"/>
    <cellStyle name="Accent5_Book1" xfId="587"/>
    <cellStyle name="Accent1 - 40% 3 2" xfId="588"/>
    <cellStyle name="Accent1 - 40% 4" xfId="589"/>
    <cellStyle name="Accent1 - 40% 4 2" xfId="590"/>
    <cellStyle name="Accent1 - 60%" xfId="591"/>
    <cellStyle name="Accent1 - 60% 3" xfId="592"/>
    <cellStyle name="好_2009年一般性转移支付标准工资_~4190974 3" xfId="593"/>
    <cellStyle name="Accent1 - 60% 3 2" xfId="594"/>
    <cellStyle name="Accent3 - 60% 3" xfId="595"/>
    <cellStyle name="Accent1 2 2" xfId="596"/>
    <cellStyle name="常规 2 2 3 2" xfId="597"/>
    <cellStyle name="Accent1 6" xfId="598"/>
    <cellStyle name="Accent1 7" xfId="599"/>
    <cellStyle name="Accent1 8" xfId="600"/>
    <cellStyle name="Accent1 9" xfId="601"/>
    <cellStyle name="Accent2" xfId="602"/>
    <cellStyle name="Accent2 - 20% 2 2" xfId="603"/>
    <cellStyle name="Accent2 - 20% 4 2" xfId="604"/>
    <cellStyle name="输入 2 4" xfId="605"/>
    <cellStyle name="千位分隔[0] 2 2" xfId="606"/>
    <cellStyle name="Accent2 - 40% 2 2" xfId="607"/>
    <cellStyle name="Accent5 - 40% 3" xfId="608"/>
    <cellStyle name="Accent4 - 20% 4 2" xfId="609"/>
    <cellStyle name="Accent2 - 60% 2 2" xfId="610"/>
    <cellStyle name="Accent2 - 60% 3" xfId="611"/>
    <cellStyle name="Accent2 - 60% 3 2" xfId="612"/>
    <cellStyle name="Accent2 2" xfId="613"/>
    <cellStyle name="Accent2 3" xfId="614"/>
    <cellStyle name="Accent2 3 2" xfId="615"/>
    <cellStyle name="差_M01-2(州市补助收入)" xfId="616"/>
    <cellStyle name="Accent2 4" xfId="617"/>
    <cellStyle name="差_M01-2(州市补助收入) 2" xfId="618"/>
    <cellStyle name="Accent2 4 2" xfId="619"/>
    <cellStyle name="常规 2 2 4 2" xfId="620"/>
    <cellStyle name="Accent2 6" xfId="621"/>
    <cellStyle name="常规 2 2 4 3" xfId="622"/>
    <cellStyle name="Accent2 7" xfId="623"/>
    <cellStyle name="Accent2_Book1" xfId="624"/>
    <cellStyle name="好_2009年一般性转移支付标准工资_奖励补助测算5.22测试 2" xfId="625"/>
    <cellStyle name="差_2007年检察院案件数" xfId="626"/>
    <cellStyle name="Accent3" xfId="627"/>
    <cellStyle name="Accent5 2 2" xfId="628"/>
    <cellStyle name="Accent3 - 20% 2" xfId="629"/>
    <cellStyle name="Accent5 6" xfId="630"/>
    <cellStyle name="Accent3 - 20% 2 2" xfId="631"/>
    <cellStyle name="Accent3 - 20% 3" xfId="632"/>
    <cellStyle name="Accent3 - 40% 2" xfId="633"/>
    <cellStyle name="好_财政支出对上级的依赖程度 2" xfId="634"/>
    <cellStyle name="捠壿 [0.00]_Region Orders (2)" xfId="635"/>
    <cellStyle name="Accent4 - 60%" xfId="636"/>
    <cellStyle name="Accent3 - 40% 3" xfId="637"/>
    <cellStyle name="Accent6 - 20% 4" xfId="638"/>
    <cellStyle name="Accent4 - 60% 2" xfId="639"/>
    <cellStyle name="Accent3 - 40% 3 2" xfId="640"/>
    <cellStyle name="Accent3 - 40% 4" xfId="641"/>
    <cellStyle name="Accent3 - 40% 4 2" xfId="642"/>
    <cellStyle name="통화 [0]_BOILER-CO1" xfId="643"/>
    <cellStyle name="Accent5 - 20% 4 2" xfId="644"/>
    <cellStyle name="好_2009年一般性转移支付标准工资_~4190974 2 2" xfId="645"/>
    <cellStyle name="Accent3 - 60% 2 2" xfId="646"/>
    <cellStyle name="好_2009年一般性转移支付标准工资_~4190974 3 2" xfId="647"/>
    <cellStyle name="Accent3 - 60% 3 2" xfId="648"/>
    <cellStyle name="Accent3 10" xfId="649"/>
    <cellStyle name="Accent3 11" xfId="650"/>
    <cellStyle name="Accent3 3" xfId="651"/>
    <cellStyle name="Accent3 4" xfId="652"/>
    <cellStyle name="Accent3 5" xfId="653"/>
    <cellStyle name="Accent3 6" xfId="654"/>
    <cellStyle name="Accent3 7" xfId="655"/>
    <cellStyle name="Accent3 8" xfId="656"/>
    <cellStyle name="差_2009年一般性转移支付标准工资_奖励补助测算5.22测试 2" xfId="657"/>
    <cellStyle name="Accent3 9" xfId="658"/>
    <cellStyle name="好_2009年一般性转移支付标准工资_奖励补助测算5.22测试 3" xfId="659"/>
    <cellStyle name="Accent4" xfId="660"/>
    <cellStyle name="Accent4 - 20% 2 2" xfId="661"/>
    <cellStyle name="Accent6 - 40%" xfId="662"/>
    <cellStyle name="Accent4 - 40% 2" xfId="663"/>
    <cellStyle name="Accent4 - 40% 3" xfId="664"/>
    <cellStyle name="千位分隔 2 5" xfId="665"/>
    <cellStyle name="好_2009年一般性转移支付标准工资_不用软件计算9.1不考虑经费管理评价xl 3" xfId="666"/>
    <cellStyle name="差_Book1_2 3" xfId="667"/>
    <cellStyle name="Accent4 - 40% 3 2" xfId="668"/>
    <cellStyle name="PSSpacer" xfId="669"/>
    <cellStyle name="Accent4 - 60% 3" xfId="670"/>
    <cellStyle name="Accent4 10" xfId="671"/>
    <cellStyle name="Accent5 3 2" xfId="672"/>
    <cellStyle name="Accent4 11" xfId="673"/>
    <cellStyle name="Accent6" xfId="674"/>
    <cellStyle name="好_2009年一般性转移支付标准工资_奖励补助测算5.22测试 3 2" xfId="675"/>
    <cellStyle name="Accent4 2" xfId="676"/>
    <cellStyle name="Accent4 4" xfId="677"/>
    <cellStyle name="Accent4 4 2" xfId="678"/>
    <cellStyle name="好_地方配套按人均增幅控制8.31（调整结案率后）xl 3" xfId="679"/>
    <cellStyle name="Tusental (0)_pldt" xfId="680"/>
    <cellStyle name="Accent4 6" xfId="681"/>
    <cellStyle name="Accent4 7" xfId="682"/>
    <cellStyle name="Accent4 8" xfId="683"/>
    <cellStyle name="Accent5" xfId="684"/>
    <cellStyle name="好_2007年检察院案件数 3" xfId="685"/>
    <cellStyle name="差_义务教育阶段教职工人数（教育厅提供最终） 2" xfId="686"/>
    <cellStyle name="Accent5 - 20% 2 2" xfId="687"/>
    <cellStyle name="好_1003牟定县 3" xfId="688"/>
    <cellStyle name="Accent5 - 40% 2" xfId="689"/>
    <cellStyle name="好_1003牟定县 3 2" xfId="690"/>
    <cellStyle name="HEADING1" xfId="691"/>
    <cellStyle name="Accent5 - 40% 2 2" xfId="692"/>
    <cellStyle name="Accent5 - 40% 3 2" xfId="693"/>
    <cellStyle name="Accent5 - 40% 4 2" xfId="694"/>
    <cellStyle name="Accent5 - 60%" xfId="695"/>
    <cellStyle name="Accent5 - 60% 2" xfId="696"/>
    <cellStyle name="Accent5 10" xfId="697"/>
    <cellStyle name="Accent5 11" xfId="698"/>
    <cellStyle name="Accent5 3" xfId="699"/>
    <cellStyle name="Accent5 4" xfId="700"/>
    <cellStyle name="差_奖励补助测算7.25 5" xfId="701"/>
    <cellStyle name="差_奖励补助测算7.25 10" xfId="702"/>
    <cellStyle name="Accent5 4 2" xfId="703"/>
    <cellStyle name="汇总 2" xfId="704"/>
    <cellStyle name="差_Book2 2" xfId="705"/>
    <cellStyle name="Accent5 5" xfId="706"/>
    <cellStyle name="Accent5 7" xfId="707"/>
    <cellStyle name="Accent5 8" xfId="708"/>
    <cellStyle name="Accent6 - 20% 3 2" xfId="709"/>
    <cellStyle name="好_云南水利电力有限公司" xfId="710"/>
    <cellStyle name="Accent6 - 40% 2 2" xfId="711"/>
    <cellStyle name="Accent6 - 40% 4" xfId="712"/>
    <cellStyle name="Accent6 - 60%" xfId="713"/>
    <cellStyle name="Accent6 2" xfId="714"/>
    <cellStyle name="콤마 [0]_BOILER-CO1" xfId="715"/>
    <cellStyle name="Accent6 2 2" xfId="716"/>
    <cellStyle name="Accent6 3" xfId="717"/>
    <cellStyle name="常规 5" xfId="718"/>
    <cellStyle name="Accent6 3 2" xfId="719"/>
    <cellStyle name="Accent6 4" xfId="720"/>
    <cellStyle name="Accent6 4 2" xfId="721"/>
    <cellStyle name="Accent6 5" xfId="722"/>
    <cellStyle name="差_2006年全省财力计算表（中央、决算）" xfId="723"/>
    <cellStyle name="Accent6 6" xfId="724"/>
    <cellStyle name="Accent6 7" xfId="725"/>
    <cellStyle name="Accent6 8" xfId="726"/>
    <cellStyle name="Accent6 9" xfId="727"/>
    <cellStyle name="Accent6_Book1" xfId="728"/>
    <cellStyle name="好 3 2 2" xfId="729"/>
    <cellStyle name="args.style" xfId="730"/>
    <cellStyle name="Title" xfId="731"/>
    <cellStyle name="args.style 2" xfId="732"/>
    <cellStyle name="差_~5676413 2 2" xfId="733"/>
    <cellStyle name="Bad" xfId="734"/>
    <cellStyle name="常规 11 3" xfId="735"/>
    <cellStyle name="Bad 2" xfId="736"/>
    <cellStyle name="Bad 2 2" xfId="737"/>
    <cellStyle name="Black" xfId="738"/>
    <cellStyle name="Black 2" xfId="739"/>
    <cellStyle name="Black 3" xfId="740"/>
    <cellStyle name="Black 4" xfId="741"/>
    <cellStyle name="常规 9 5" xfId="742"/>
    <cellStyle name="Border" xfId="743"/>
    <cellStyle name="Border 2" xfId="744"/>
    <cellStyle name="Border 2 2" xfId="745"/>
    <cellStyle name="Border 2 3" xfId="746"/>
    <cellStyle name="Border 3" xfId="747"/>
    <cellStyle name="好_0502通海县" xfId="748"/>
    <cellStyle name="Border 3 2" xfId="749"/>
    <cellStyle name="Border 3 3" xfId="750"/>
    <cellStyle name="Border 4" xfId="751"/>
    <cellStyle name="Border 4 2" xfId="752"/>
    <cellStyle name="Border 4 3" xfId="753"/>
    <cellStyle name="Border 5" xfId="754"/>
    <cellStyle name="Border 5 2" xfId="755"/>
    <cellStyle name="Border 5 3" xfId="756"/>
    <cellStyle name="Border 6" xfId="757"/>
    <cellStyle name="Border 7" xfId="758"/>
    <cellStyle name="Border 8" xfId="759"/>
    <cellStyle name="Calc Currency (0)" xfId="760"/>
    <cellStyle name="ColLevel_0" xfId="761"/>
    <cellStyle name="Calc Currency (0) 2" xfId="762"/>
    <cellStyle name="Calc Currency (0) 3" xfId="763"/>
    <cellStyle name="Calc Currency (0) 4" xfId="764"/>
    <cellStyle name="Calculation" xfId="765"/>
    <cellStyle name="Calculation 2" xfId="766"/>
    <cellStyle name="Calculation 2 2" xfId="767"/>
    <cellStyle name="Calculation 2 3" xfId="768"/>
    <cellStyle name="差_银行账户情况表_2010年12月 2" xfId="769"/>
    <cellStyle name="Calculation 2 4" xfId="770"/>
    <cellStyle name="Calculation 3" xfId="771"/>
    <cellStyle name="Calculation 4" xfId="772"/>
    <cellStyle name="差_奖励补助测算7.25 (version 1) (version 1) 2 2" xfId="773"/>
    <cellStyle name="Check Cell 2" xfId="774"/>
    <cellStyle name="Check Cell 2 2" xfId="775"/>
    <cellStyle name="常规 3 6" xfId="776"/>
    <cellStyle name="Comma [0]" xfId="777"/>
    <cellStyle name="Comma [0] 2" xfId="778"/>
    <cellStyle name="Comma [0] 4" xfId="779"/>
    <cellStyle name="통화_BOILER-CO1" xfId="780"/>
    <cellStyle name="comma zerodec" xfId="781"/>
    <cellStyle name="comma zerodec 2" xfId="782"/>
    <cellStyle name="comma zerodec 3" xfId="783"/>
    <cellStyle name="Comma_!!!GO" xfId="784"/>
    <cellStyle name="comma-d 3" xfId="785"/>
    <cellStyle name="comma-d 4" xfId="786"/>
    <cellStyle name="Currency [0]" xfId="787"/>
    <cellStyle name="Currency [0] 2" xfId="788"/>
    <cellStyle name="Currency [0] 3" xfId="789"/>
    <cellStyle name="Currency [0] 4" xfId="790"/>
    <cellStyle name="Currency_!!!GO" xfId="791"/>
    <cellStyle name="Currency1" xfId="792"/>
    <cellStyle name="差_2、土地面积、人口、粮食产量基本情况" xfId="793"/>
    <cellStyle name="Currency1 2" xfId="794"/>
    <cellStyle name="Currency1 3" xfId="795"/>
    <cellStyle name="Currency1 4" xfId="796"/>
    <cellStyle name="Date" xfId="797"/>
    <cellStyle name="Date 2" xfId="798"/>
    <cellStyle name="常规 3 9" xfId="799"/>
    <cellStyle name="Dezimal [0]_laroux" xfId="800"/>
    <cellStyle name="表标题 3 2" xfId="801"/>
    <cellStyle name="Total 2 2" xfId="802"/>
    <cellStyle name="Dezimal_laroux" xfId="803"/>
    <cellStyle name="好_2009年一般性转移支付标准工资_奖励补助测算7.25 9 2" xfId="804"/>
    <cellStyle name="Dollar (zero dec)" xfId="805"/>
    <cellStyle name="Dollar (zero dec) 2" xfId="806"/>
    <cellStyle name="Dollar (zero dec) 3" xfId="807"/>
    <cellStyle name="Dollar (zero dec) 4" xfId="808"/>
    <cellStyle name="Explanatory Text" xfId="809"/>
    <cellStyle name="Explanatory Text 2" xfId="810"/>
    <cellStyle name="Explanatory Text 2 2" xfId="811"/>
    <cellStyle name="e鯪9Y_x000B_" xfId="812"/>
    <cellStyle name="常规 2 10 2" xfId="813"/>
    <cellStyle name="e鯪9Y_x000b_" xfId="814"/>
    <cellStyle name="常规 28 2" xfId="815"/>
    <cellStyle name="Fixed" xfId="816"/>
    <cellStyle name="Fixed 2" xfId="817"/>
    <cellStyle name="Fixed 3" xfId="818"/>
    <cellStyle name="Fixed 4" xfId="819"/>
    <cellStyle name="Followed Hyperlink_AheadBehind.xls Chart 23" xfId="820"/>
    <cellStyle name="常规 10" xfId="821"/>
    <cellStyle name="PSDec 2" xfId="822"/>
    <cellStyle name="Good" xfId="823"/>
    <cellStyle name="好_M01-2(州市补助收入)" xfId="824"/>
    <cellStyle name="常规 10 2" xfId="825"/>
    <cellStyle name="Good 2" xfId="826"/>
    <cellStyle name="好_M01-2(州市补助收入) 2" xfId="827"/>
    <cellStyle name="常规 10 2 2" xfId="828"/>
    <cellStyle name="Good 2 2" xfId="829"/>
    <cellStyle name="常规 10 3" xfId="830"/>
    <cellStyle name="Good 3" xfId="831"/>
    <cellStyle name="Good 3 2" xfId="832"/>
    <cellStyle name="Grey" xfId="833"/>
    <cellStyle name="Grey 2" xfId="834"/>
    <cellStyle name="Grey 3" xfId="835"/>
    <cellStyle name="差_03昭通" xfId="836"/>
    <cellStyle name="Grey 4" xfId="837"/>
    <cellStyle name="强调文字颜色 5 2 2" xfId="838"/>
    <cellStyle name="Header1" xfId="839"/>
    <cellStyle name="Header1 2" xfId="840"/>
    <cellStyle name="Header2" xfId="841"/>
    <cellStyle name="Header2 2" xfId="842"/>
    <cellStyle name="Header2 2 2" xfId="843"/>
    <cellStyle name="Header2 2 3" xfId="844"/>
    <cellStyle name="Header2 3" xfId="845"/>
    <cellStyle name="Header2 3 2" xfId="846"/>
    <cellStyle name="Header2 3 3" xfId="847"/>
    <cellStyle name="好_1110洱源县 2 2" xfId="848"/>
    <cellStyle name="Header2 4" xfId="849"/>
    <cellStyle name="Header2 5" xfId="850"/>
    <cellStyle name="差_2006年在职人员情况 2 2" xfId="851"/>
    <cellStyle name="Heading 1" xfId="852"/>
    <cellStyle name="Heading 1 2" xfId="853"/>
    <cellStyle name="Heading 1 2 2" xfId="854"/>
    <cellStyle name="Heading 2" xfId="855"/>
    <cellStyle name="Heading 2 2" xfId="856"/>
    <cellStyle name="Heading 2 2 2" xfId="857"/>
    <cellStyle name="Heading 3" xfId="858"/>
    <cellStyle name="Heading 4" xfId="859"/>
    <cellStyle name="Heading 4 2" xfId="860"/>
    <cellStyle name="Heading 4 2 2" xfId="861"/>
    <cellStyle name="HEADING1 2" xfId="862"/>
    <cellStyle name="HEADING1 4" xfId="863"/>
    <cellStyle name="好_2009年一般性转移支付标准工资_奖励补助测算5.23新 2" xfId="864"/>
    <cellStyle name="HEADING2" xfId="865"/>
    <cellStyle name="好_2009年一般性转移支付标准工资_奖励补助测算5.23新 2 2" xfId="866"/>
    <cellStyle name="HEADING2 2" xfId="867"/>
    <cellStyle name="HEADING2 3" xfId="868"/>
    <cellStyle name="HEADING2 4" xfId="869"/>
    <cellStyle name="Hyperlink_AheadBehind.xls Chart 23" xfId="870"/>
    <cellStyle name="Input" xfId="871"/>
    <cellStyle name="千位分隔 2 4" xfId="872"/>
    <cellStyle name="好_2009年一般性转移支付标准工资_不用软件计算9.1不考虑经费管理评价xl 2" xfId="873"/>
    <cellStyle name="差_Book1_2 2" xfId="874"/>
    <cellStyle name="Input [yellow]" xfId="875"/>
    <cellStyle name="好_2009年一般性转移支付标准工资_不用软件计算9.1不考虑经费管理评价xl 2 2" xfId="876"/>
    <cellStyle name="差_Book1_2 2 2" xfId="877"/>
    <cellStyle name="Input [yellow] 2" xfId="878"/>
    <cellStyle name="Input [yellow] 2 2" xfId="879"/>
    <cellStyle name="Input [yellow] 2 3" xfId="880"/>
    <cellStyle name="Input [yellow] 3" xfId="881"/>
    <cellStyle name="Input [yellow] 3 2" xfId="882"/>
    <cellStyle name="差_指标四 2 2" xfId="883"/>
    <cellStyle name="Input [yellow] 3 3" xfId="884"/>
    <cellStyle name="好_0605石屏县 2 2" xfId="885"/>
    <cellStyle name="Input [yellow] 4" xfId="886"/>
    <cellStyle name="Input [yellow] 5" xfId="887"/>
    <cellStyle name="Input [yellow] 6" xfId="888"/>
    <cellStyle name="Input 10" xfId="889"/>
    <cellStyle name="Input 11" xfId="890"/>
    <cellStyle name="Input 2" xfId="891"/>
    <cellStyle name="Input 2 2" xfId="892"/>
    <cellStyle name="Input 2 3" xfId="893"/>
    <cellStyle name="Input 2 4" xfId="894"/>
    <cellStyle name="Input 3" xfId="895"/>
    <cellStyle name="Input 3 2" xfId="896"/>
    <cellStyle name="输入 2 2 2" xfId="897"/>
    <cellStyle name="Input 3 3" xfId="898"/>
    <cellStyle name="输入 2 2 3" xfId="899"/>
    <cellStyle name="差_Book1_县公司" xfId="900"/>
    <cellStyle name="Input 3 4" xfId="901"/>
    <cellStyle name="Input 4" xfId="902"/>
    <cellStyle name="差_Book1_银行账户情况表_2010年12月" xfId="903"/>
    <cellStyle name="Input 4 2" xfId="904"/>
    <cellStyle name="Input 4 3" xfId="905"/>
    <cellStyle name="好_0605石屏县" xfId="906"/>
    <cellStyle name="Input 4 4" xfId="907"/>
    <cellStyle name="Input 5" xfId="908"/>
    <cellStyle name="Input 6" xfId="909"/>
    <cellStyle name="好_汇总-县级财政报表附表" xfId="910"/>
    <cellStyle name="Input 7" xfId="911"/>
    <cellStyle name="Input 8" xfId="912"/>
    <cellStyle name="Input 9" xfId="913"/>
    <cellStyle name="Input Cells" xfId="914"/>
    <cellStyle name="Input Cells 2" xfId="915"/>
    <cellStyle name="Input Cells 3" xfId="916"/>
    <cellStyle name="Input Cells 4" xfId="917"/>
    <cellStyle name="Input_Book1" xfId="918"/>
    <cellStyle name="归盒啦_95" xfId="919"/>
    <cellStyle name="Linked Cell" xfId="920"/>
    <cellStyle name="Linked Cell 2" xfId="921"/>
    <cellStyle name="Linked Cell 2 2" xfId="922"/>
    <cellStyle name="Linked Cells" xfId="923"/>
    <cellStyle name="SA4" xfId="924"/>
    <cellStyle name="Linked Cells 2" xfId="925"/>
    <cellStyle name="SA5" xfId="926"/>
    <cellStyle name="Linked Cells 3" xfId="927"/>
    <cellStyle name="SA6" xfId="928"/>
    <cellStyle name="Linked Cells 4" xfId="929"/>
    <cellStyle name="Millares [0]_96 Risk" xfId="930"/>
    <cellStyle name="常规 2 2 2 2" xfId="931"/>
    <cellStyle name="Millares_96 Risk" xfId="932"/>
    <cellStyle name="Milliers [0]_!!!GO" xfId="933"/>
    <cellStyle name="Milliers_!!!GO" xfId="934"/>
    <cellStyle name="Moneda [0]_96 Risk" xfId="935"/>
    <cellStyle name="Moneda_96 Risk" xfId="936"/>
    <cellStyle name="Mon閠aire [0]_!!!GO" xfId="937"/>
    <cellStyle name="Mon閠aire_!!!GO" xfId="938"/>
    <cellStyle name="Neutral" xfId="939"/>
    <cellStyle name="Neutral 2 2" xfId="940"/>
    <cellStyle name="New Times Roman" xfId="941"/>
    <cellStyle name="New Times Roman 3" xfId="942"/>
    <cellStyle name="New Times Roman 4" xfId="943"/>
    <cellStyle name="差_530623_2006年县级财政报表附表 2" xfId="944"/>
    <cellStyle name="no dec" xfId="945"/>
    <cellStyle name="差_530623_2006年县级财政报表附表 2 2" xfId="946"/>
    <cellStyle name="no dec 2" xfId="947"/>
    <cellStyle name="no dec 3" xfId="948"/>
    <cellStyle name="好_1110洱源县 2" xfId="949"/>
    <cellStyle name="no dec 4" xfId="950"/>
    <cellStyle name="Non défini" xfId="951"/>
    <cellStyle name="Non défini 2" xfId="952"/>
    <cellStyle name="Non défini 3" xfId="953"/>
    <cellStyle name="Non défini 4" xfId="954"/>
    <cellStyle name="Normal - Style1 4" xfId="955"/>
    <cellStyle name="好_历年教师人数" xfId="956"/>
    <cellStyle name="Normal_!!!GO" xfId="957"/>
    <cellStyle name="Note" xfId="958"/>
    <cellStyle name="Pourcentage_pldt" xfId="959"/>
    <cellStyle name="Note 2" xfId="960"/>
    <cellStyle name="Note 2 2" xfId="961"/>
    <cellStyle name="Note 2 3" xfId="962"/>
    <cellStyle name="Note 3" xfId="963"/>
    <cellStyle name="Note 4" xfId="964"/>
    <cellStyle name="Note 5" xfId="965"/>
    <cellStyle name="Output" xfId="966"/>
    <cellStyle name="Output 2" xfId="967"/>
    <cellStyle name="常规 14" xfId="968"/>
    <cellStyle name="Output 2 2" xfId="969"/>
    <cellStyle name="常规 20" xfId="970"/>
    <cellStyle name="常规 15" xfId="971"/>
    <cellStyle name="Output 2 3" xfId="972"/>
    <cellStyle name="常规 21" xfId="973"/>
    <cellStyle name="常规 16" xfId="974"/>
    <cellStyle name="Output 2 4" xfId="975"/>
    <cellStyle name="Output 3" xfId="976"/>
    <cellStyle name="好_2009年一般性转移支付标准工资_奖励补助测算5.24冯铸 3 2" xfId="977"/>
    <cellStyle name="Output 4" xfId="978"/>
    <cellStyle name="per.style 3" xfId="979"/>
    <cellStyle name="差_奖励补助测算7.25 2" xfId="980"/>
    <cellStyle name="per.style 4" xfId="981"/>
    <cellStyle name="Percent [2]" xfId="982"/>
    <cellStyle name="Percent [2] 2" xfId="983"/>
    <cellStyle name="Percent [2] 3" xfId="984"/>
    <cellStyle name="Percent [2] 4" xfId="985"/>
    <cellStyle name="Percent_!!!GO" xfId="986"/>
    <cellStyle name="PSChar" xfId="987"/>
    <cellStyle name="好_检验表" xfId="988"/>
    <cellStyle name="t" xfId="989"/>
    <cellStyle name="PSChar 3" xfId="990"/>
    <cellStyle name="PSChar 4" xfId="991"/>
    <cellStyle name="PSDate" xfId="992"/>
    <cellStyle name="PSDate 2" xfId="993"/>
    <cellStyle name="PSDate 3" xfId="994"/>
    <cellStyle name="好_2009年一般性转移支付标准工资_奖励补助测算7.25 10" xfId="995"/>
    <cellStyle name="PSDate 4" xfId="996"/>
    <cellStyle name="PSDec" xfId="997"/>
    <cellStyle name="常规 11" xfId="998"/>
    <cellStyle name="PSDec 3" xfId="999"/>
    <cellStyle name="常规 12" xfId="1000"/>
    <cellStyle name="PSDec 4" xfId="1001"/>
    <cellStyle name="常规 20 2 3" xfId="1002"/>
    <cellStyle name="常规 15 2 3" xfId="1003"/>
    <cellStyle name="PSHeading" xfId="1004"/>
    <cellStyle name="PSHeading 2" xfId="1005"/>
    <cellStyle name="好_地方配套按人均增幅控制8.30xl 2" xfId="1006"/>
    <cellStyle name="PSHeading 3" xfId="1007"/>
    <cellStyle name="好_地方配套按人均增幅控制8.30xl 3" xfId="1008"/>
    <cellStyle name="差_教育厅提供义务教育及高中教师人数（2009年1月6日）" xfId="1009"/>
    <cellStyle name="表标题 2 2" xfId="1010"/>
    <cellStyle name="PSHeading 4" xfId="1011"/>
    <cellStyle name="PSInt" xfId="1012"/>
    <cellStyle name="PSInt 2" xfId="1013"/>
    <cellStyle name="PSInt 3" xfId="1014"/>
    <cellStyle name="PSInt 4" xfId="1015"/>
    <cellStyle name="PSSpacer 3" xfId="1016"/>
    <cellStyle name="常规 29 2" xfId="1017"/>
    <cellStyle name="PSSpacer 4" xfId="1018"/>
    <cellStyle name="Red" xfId="1019"/>
    <cellStyle name="Red 2" xfId="1020"/>
    <cellStyle name="Red 3" xfId="1021"/>
    <cellStyle name="Red 4" xfId="1022"/>
    <cellStyle name="差_2008年县级公安保障标准落实奖励经费分配测算" xfId="1023"/>
    <cellStyle name="RowLevel_0" xfId="1024"/>
    <cellStyle name="SA4 2" xfId="1025"/>
    <cellStyle name="好 2" xfId="1026"/>
    <cellStyle name="差_2009年一般性转移支付标准工资_奖励补助测算7.25 4 2" xfId="1027"/>
    <cellStyle name="SA4 3" xfId="1028"/>
    <cellStyle name="SA5 2" xfId="1029"/>
    <cellStyle name="SA5 3" xfId="1030"/>
    <cellStyle name="SA6 2" xfId="1031"/>
    <cellStyle name="SA6 3" xfId="1032"/>
    <cellStyle name="sstot" xfId="1033"/>
    <cellStyle name="sstot 2" xfId="1034"/>
    <cellStyle name="콤마_BOILER-CO1" xfId="1035"/>
    <cellStyle name="sstot 3" xfId="1036"/>
    <cellStyle name="sstot 4" xfId="1037"/>
    <cellStyle name="Standard_AREAS" xfId="1038"/>
    <cellStyle name="好_检验表 2" xfId="1039"/>
    <cellStyle name="常规_2014年12月财政收支分析表15.1.2" xfId="1040"/>
    <cellStyle name="t 2" xfId="1041"/>
    <cellStyle name="t 3" xfId="1042"/>
    <cellStyle name="t 4" xfId="1043"/>
    <cellStyle name="t_Book1" xfId="1044"/>
    <cellStyle name="t_Book1 2" xfId="1045"/>
    <cellStyle name="差_2006年水利统计指标统计表 2" xfId="1046"/>
    <cellStyle name="t_Book1 3" xfId="1047"/>
    <cellStyle name="t_Book1 4" xfId="1048"/>
    <cellStyle name="常规 2 3 4" xfId="1049"/>
    <cellStyle name="t_HVAC Equipment (3)" xfId="1050"/>
    <cellStyle name="t_HVAC Equipment (3) 2" xfId="1051"/>
    <cellStyle name="t_HVAC Equipment (3) 3" xfId="1052"/>
    <cellStyle name="t_HVAC Equipment (3) 4" xfId="1053"/>
    <cellStyle name="好_奖励补助测算7.25" xfId="1054"/>
    <cellStyle name="t_HVAC Equipment (3)_Book1 3" xfId="1055"/>
    <cellStyle name="t_HVAC Equipment (3)_Book1 4" xfId="1056"/>
    <cellStyle name="Title 2" xfId="1057"/>
    <cellStyle name="Title 2 2" xfId="1058"/>
    <cellStyle name="Total" xfId="1059"/>
    <cellStyle name="好_地方配套按人均增幅控制8.31（调整结案率后）xl 2 2" xfId="1060"/>
    <cellStyle name="差_Book1 2 2" xfId="1061"/>
    <cellStyle name="Total 2 3" xfId="1062"/>
    <cellStyle name="Total 2 4" xfId="1063"/>
    <cellStyle name="好_奖励补助测算7.25 6 2" xfId="1064"/>
    <cellStyle name="Total 3" xfId="1065"/>
    <cellStyle name="好_5334_2006年迪庆县级财政报表附表 2" xfId="1066"/>
    <cellStyle name="Total 4" xfId="1067"/>
    <cellStyle name="Tusental_pldt" xfId="1068"/>
    <cellStyle name="Valuta (0)_pldt" xfId="1069"/>
    <cellStyle name="Valuta_pldt" xfId="1070"/>
    <cellStyle name="Warning Text" xfId="1071"/>
    <cellStyle name="Warning Text 2" xfId="1072"/>
    <cellStyle name="百分比 2" xfId="1073"/>
    <cellStyle name="百分比 2 2" xfId="1074"/>
    <cellStyle name="百分比 2 2 2" xfId="1075"/>
    <cellStyle name="百分比 2 3" xfId="1076"/>
    <cellStyle name="百分比 2 4" xfId="1077"/>
    <cellStyle name="百分比 2 5" xfId="1078"/>
    <cellStyle name="百分比 3" xfId="1079"/>
    <cellStyle name="百分比 3 2" xfId="1080"/>
    <cellStyle name="百分比 3 3" xfId="1081"/>
    <cellStyle name="百分比 4" xfId="1082"/>
    <cellStyle name="常规 2 2 6" xfId="1083"/>
    <cellStyle name="百分比 4 2" xfId="1084"/>
    <cellStyle name="常规 2 2 7" xfId="1085"/>
    <cellStyle name="百分比 4 3" xfId="1086"/>
    <cellStyle name="数字 2 3" xfId="1087"/>
    <cellStyle name="捠壿_Region Orders (2)" xfId="1088"/>
    <cellStyle name="编号" xfId="1089"/>
    <cellStyle name="编号 2" xfId="1090"/>
    <cellStyle name="编号 3" xfId="1091"/>
    <cellStyle name="编号 4" xfId="1092"/>
    <cellStyle name="标题 1 2" xfId="1093"/>
    <cellStyle name="标题 1 2 2" xfId="1094"/>
    <cellStyle name="标题 2 2" xfId="1095"/>
    <cellStyle name="标题 2 2 2" xfId="1096"/>
    <cellStyle name="标题 3 2" xfId="1097"/>
    <cellStyle name="标题 3 2 2" xfId="1098"/>
    <cellStyle name="千位分隔 3" xfId="1099"/>
    <cellStyle name="标题 4 2" xfId="1100"/>
    <cellStyle name="千位分隔 3 2" xfId="1101"/>
    <cellStyle name="标题 4 2 2" xfId="1102"/>
    <cellStyle name="好_第一部分：综合全" xfId="1103"/>
    <cellStyle name="标题 5" xfId="1104"/>
    <cellStyle name="好_第一部分：综合全 2" xfId="1105"/>
    <cellStyle name="标题 5 2" xfId="1106"/>
    <cellStyle name="标题 5 2 2" xfId="1107"/>
    <cellStyle name="好_00省级(打印)" xfId="1108"/>
    <cellStyle name="差_奖励补助测算7.25 2 2" xfId="1109"/>
    <cellStyle name="标题1" xfId="1110"/>
    <cellStyle name="好_00省级(打印) 2" xfId="1111"/>
    <cellStyle name="标题1 2" xfId="1112"/>
    <cellStyle name="好_00省级(打印) 3" xfId="1113"/>
    <cellStyle name="标题1 3" xfId="1114"/>
    <cellStyle name="表标题" xfId="1115"/>
    <cellStyle name="部门" xfId="1116"/>
    <cellStyle name="部门 2" xfId="1117"/>
    <cellStyle name="好_2007年可用财力 2" xfId="1118"/>
    <cellStyle name="部门 3" xfId="1119"/>
    <cellStyle name="差 2" xfId="1120"/>
    <cellStyle name="差 2 2" xfId="1121"/>
    <cellStyle name="好_业务工作量指标 2 2" xfId="1122"/>
    <cellStyle name="差_~4190974" xfId="1123"/>
    <cellStyle name="差_~4190974 2" xfId="1124"/>
    <cellStyle name="差_~4190974 2 2" xfId="1125"/>
    <cellStyle name="差_00省级(打印) 2" xfId="1126"/>
    <cellStyle name="差_~5676413" xfId="1127"/>
    <cellStyle name="差_00省级(打印) 2 2" xfId="1128"/>
    <cellStyle name="差_~5676413 2" xfId="1129"/>
    <cellStyle name="差_00省级(打印)" xfId="1130"/>
    <cellStyle name="差_00省级(定稿)" xfId="1131"/>
    <cellStyle name="㼿㼿㼿㼿㼿㼿 3" xfId="1132"/>
    <cellStyle name="好_2007年政法部门业务指标 3" xfId="1133"/>
    <cellStyle name="差_00省级(定稿) 2" xfId="1134"/>
    <cellStyle name="好_2007年政法部门业务指标 3 2" xfId="1135"/>
    <cellStyle name="差_00省级(定稿) 2 2" xfId="1136"/>
    <cellStyle name="差_03昭通 2 2" xfId="1137"/>
    <cellStyle name="差_0502通海县" xfId="1138"/>
    <cellStyle name="差_0502通海县 2" xfId="1139"/>
    <cellStyle name="差_0502通海县 2 2" xfId="1140"/>
    <cellStyle name="差_05玉溪" xfId="1141"/>
    <cellStyle name="표준_0N-HANDLING " xfId="1142"/>
    <cellStyle name="差_05玉溪 2" xfId="1143"/>
    <cellStyle name="差_0605石屏县" xfId="1144"/>
    <cellStyle name="差_0605石屏县 2" xfId="1145"/>
    <cellStyle name="差_0605石屏县 2 2" xfId="1146"/>
    <cellStyle name="差_1003牟定县 2 2" xfId="1147"/>
    <cellStyle name="差_1110洱源县" xfId="1148"/>
    <cellStyle name="差_1110洱源县 2" xfId="1149"/>
    <cellStyle name="差_1110洱源县 2 2" xfId="1150"/>
    <cellStyle name="差_11大理" xfId="1151"/>
    <cellStyle name="差_11大理 2" xfId="1152"/>
    <cellStyle name="差_11大理 2 2" xfId="1153"/>
    <cellStyle name="好_指标四 3" xfId="1154"/>
    <cellStyle name="差_2、土地面积、人口、粮食产量基本情况 2" xfId="1155"/>
    <cellStyle name="好_指标四 3 2" xfId="1156"/>
    <cellStyle name="差_2、土地面积、人口、粮食产量基本情况 2 2" xfId="1157"/>
    <cellStyle name="差_2006年分析表" xfId="1158"/>
    <cellStyle name="差_2006年分析表 2" xfId="1159"/>
    <cellStyle name="差_2006年全省财力计算表（中央、决算） 2" xfId="1160"/>
    <cellStyle name="差_2006年全省财力计算表（中央、决算） 2 2" xfId="1161"/>
    <cellStyle name="差_2006年水利统计指标统计表" xfId="1162"/>
    <cellStyle name="差_2006年水利统计指标统计表 2 2" xfId="1163"/>
    <cellStyle name="差_2006年在职人员情况" xfId="1164"/>
    <cellStyle name="差_2007年可用财力" xfId="1165"/>
    <cellStyle name="差_2007年可用财力 2" xfId="1166"/>
    <cellStyle name="差_2007年人员分部门统计表" xfId="1167"/>
    <cellStyle name="差_2007年人员分部门统计表 2" xfId="1168"/>
    <cellStyle name="差_2007年人员分部门统计表 2 2" xfId="1169"/>
    <cellStyle name="差_教师绩效工资测算表（离退休按各地上报数测算）2009年1月1日 2" xfId="1170"/>
    <cellStyle name="差_2007年政法部门业务指标 2" xfId="1171"/>
    <cellStyle name="差_2007年政法部门业务指标 2 2" xfId="1172"/>
    <cellStyle name="差_2008年县级公安保障标准落实奖励经费分配测算 2" xfId="1173"/>
    <cellStyle name="差_2008云南省分县市中小学教职工统计表（教育厅提供）" xfId="1174"/>
    <cellStyle name="计算 2 3" xfId="1175"/>
    <cellStyle name="差_2008云南省分县市中小学教职工统计表（教育厅提供） 2" xfId="1176"/>
    <cellStyle name="数量 4" xfId="1177"/>
    <cellStyle name="差_2008云南省分县市中小学教职工统计表（教育厅提供） 2 2" xfId="1178"/>
    <cellStyle name="输出 2" xfId="1179"/>
    <cellStyle name="好_奖励补助测算5.22测试 3 2" xfId="1180"/>
    <cellStyle name="差_2009年一般性转移支付标准工资 2 2" xfId="1181"/>
    <cellStyle name="差_2009年一般性转移支付标准工资_~4190974" xfId="1182"/>
    <cellStyle name="差_2009年一般性转移支付标准工资_~4190974 2" xfId="1183"/>
    <cellStyle name="差_2009年一般性转移支付标准工资_~5676413" xfId="1184"/>
    <cellStyle name="常规 5 5" xfId="1185"/>
    <cellStyle name="差_2009年一般性转移支付标准工资_~5676413 2" xfId="1186"/>
    <cellStyle name="差_2009年一般性转移支付标准工资_~5676413 2 2" xfId="1187"/>
    <cellStyle name="差_2009年一般性转移支付标准工资_不用软件计算9.1不考虑经费管理评价xl" xfId="1188"/>
    <cellStyle name="差_2009年一般性转移支付标准工资_不用软件计算9.1不考虑经费管理评价xl 2" xfId="1189"/>
    <cellStyle name="常规 19 5" xfId="1190"/>
    <cellStyle name="差_2009年一般性转移支付标准工资_不用软件计算9.1不考虑经费管理评价xl 2 2" xfId="1191"/>
    <cellStyle name="常规 2 6 2" xfId="1192"/>
    <cellStyle name="差_2009年一般性转移支付标准工资_地方配套按人均增幅控制8.30xl" xfId="1193"/>
    <cellStyle name="差_2009年一般性转移支付标准工资_地方配套按人均增幅控制8.30xl 2" xfId="1194"/>
    <cellStyle name="差_2009年一般性转移支付标准工资_地方配套按人均增幅控制8.30xl 2 2" xfId="1195"/>
    <cellStyle name="强调文字颜色 3 2 2" xfId="1196"/>
    <cellStyle name="差_2009年一般性转移支付标准工资_地方配套按人均增幅控制8.30一般预算平均增幅、人均可用财力平均增幅两次控制、社会治安系数调整、案件数调整xl" xfId="1197"/>
    <cellStyle name="差_2009年一般性转移支付标准工资_地方配套按人均增幅控制8.30一般预算平均增幅、人均可用财力平均增幅两次控制、社会治安系数调整、案件数调整xl 2" xfId="1198"/>
    <cellStyle name="差_2009年一般性转移支付标准工资_地方配套按人均增幅控制8.30一般预算平均增幅、人均可用财力平均增幅两次控制、社会治安系数调整、案件数调整xl 2 2" xfId="1199"/>
    <cellStyle name="差_2009年一般性转移支付标准工资_地方配套按人均增幅控制8.31（调整结案率后）xl" xfId="1200"/>
    <cellStyle name="好_卫生部门 3" xfId="1201"/>
    <cellStyle name="差_2009年一般性转移支付标准工资_地方配套按人均增幅控制8.31（调整结案率后）xl 2" xfId="1202"/>
    <cellStyle name="好_卫生部门 3 2" xfId="1203"/>
    <cellStyle name="差_2009年一般性转移支付标准工资_地方配套按人均增幅控制8.31（调整结案率后）xl 2 2" xfId="1204"/>
    <cellStyle name="差_2009年一般性转移支付标准工资_奖励补助测算5.22测试" xfId="1205"/>
    <cellStyle name="差_2009年一般性转移支付标准工资_奖励补助测算5.22测试 2 2" xfId="1206"/>
    <cellStyle name="好_云南省2008年中小学教职工情况（教育厅提供20090101加工整理） 2 2" xfId="1207"/>
    <cellStyle name="好_03昭通 3" xfId="1208"/>
    <cellStyle name="差_2009年一般性转移支付标准工资_奖励补助测算5.23新" xfId="1209"/>
    <cellStyle name="好_03昭通 3 2" xfId="1210"/>
    <cellStyle name="差_2009年一般性转移支付标准工资_奖励补助测算5.23新 2" xfId="1211"/>
    <cellStyle name="差_2009年一般性转移支付标准工资_奖励补助测算5.23新 2 2" xfId="1212"/>
    <cellStyle name="差_2009年一般性转移支付标准工资_奖励补助测算5.24冯铸" xfId="1213"/>
    <cellStyle name="差_2009年一般性转移支付标准工资_奖励补助测算5.24冯铸 2" xfId="1214"/>
    <cellStyle name="差_2009年一般性转移支付标准工资_奖励补助测算5.24冯铸 2 2" xfId="1215"/>
    <cellStyle name="差_2009年一般性转移支付标准工资_奖励补助测算7.23" xfId="1216"/>
    <cellStyle name="差_2009年一般性转移支付标准工资_奖励补助测算7.23 2" xfId="1217"/>
    <cellStyle name="差_2009年一般性转移支付标准工资_奖励补助测算7.23 2 2" xfId="1218"/>
    <cellStyle name="差_2009年一般性转移支付标准工资_奖励补助测算7.25" xfId="1219"/>
    <cellStyle name="差_2009年一般性转移支付标准工资_奖励补助测算7.25 (version 1) (version 1)" xfId="1220"/>
    <cellStyle name="差_2009年一般性转移支付标准工资_奖励补助测算7.25 10" xfId="1221"/>
    <cellStyle name="差_2009年一般性转移支付标准工资_奖励补助测算7.25 11" xfId="1222"/>
    <cellStyle name="差_2009年一般性转移支付标准工资_奖励补助测算7.25 2" xfId="1223"/>
    <cellStyle name="差_2009年一般性转移支付标准工资_奖励补助测算7.25 2 2" xfId="1224"/>
    <cellStyle name="差_2009年一般性转移支付标准工资_奖励补助测算7.25 3" xfId="1225"/>
    <cellStyle name="差_2009年一般性转移支付标准工资_奖励补助测算7.25 5" xfId="1226"/>
    <cellStyle name="常规 14 2" xfId="1227"/>
    <cellStyle name="差_2009年一般性转移支付标准工资_奖励补助测算7.25 6" xfId="1228"/>
    <cellStyle name="常规 14 3" xfId="1229"/>
    <cellStyle name="差_2009年一般性转移支付标准工资_奖励补助测算7.25 7" xfId="1230"/>
    <cellStyle name="常规 14 4" xfId="1231"/>
    <cellStyle name="差_2009年一般性转移支付标准工资_奖励补助测算7.25 8" xfId="1232"/>
    <cellStyle name="差_2009年一般性转移支付标准工资_奖励补助测算7.25 9" xfId="1233"/>
    <cellStyle name="差_530623_2006年县级财政报表附表" xfId="1234"/>
    <cellStyle name="差_530623_2006年县级财政报表附表 3" xfId="1235"/>
    <cellStyle name="差_530623_2006年县级财政报表附表 3 2" xfId="1236"/>
    <cellStyle name="差_530629_2006年县级财政报表附表" xfId="1237"/>
    <cellStyle name="差_530629_2006年县级财政报表附表 2" xfId="1238"/>
    <cellStyle name="常规 23 4" xfId="1239"/>
    <cellStyle name="常规 18 4" xfId="1240"/>
    <cellStyle name="差_530629_2006年县级财政报表附表 2 2" xfId="1241"/>
    <cellStyle name="差_5334_2006年迪庆县级财政报表附表" xfId="1242"/>
    <cellStyle name="差_5334_2006年迪庆县级财政报表附表 2" xfId="1243"/>
    <cellStyle name="常规 2 6 3" xfId="1244"/>
    <cellStyle name="差_5334_2006年迪庆县级财政报表附表 2 2" xfId="1245"/>
    <cellStyle name="好_地方配套按人均增幅控制8.31（调整结案率后）xl" xfId="1246"/>
    <cellStyle name="差_Book1" xfId="1247"/>
    <cellStyle name="差_Book1_1" xfId="1248"/>
    <cellStyle name="差_地方配套按人均增幅控制8.30一般预算平均增幅、人均可用财力平均增幅两次控制、社会治安系数调整、案件数调整xl" xfId="1249"/>
    <cellStyle name="差_Book1_1 2" xfId="1250"/>
    <cellStyle name="好_奖励补助测算7.25 15" xfId="1251"/>
    <cellStyle name="差_地方配套按人均增幅控制8.30一般预算平均增幅、人均可用财力平均增幅两次控制、社会治安系数调整、案件数调整xl 2" xfId="1252"/>
    <cellStyle name="差_Book1_1 2 2" xfId="1253"/>
    <cellStyle name="好_2009年一般性转移支付标准工资_不用软件计算9.1不考虑经费管理评价xl" xfId="1254"/>
    <cellStyle name="差_Book1_2" xfId="1255"/>
    <cellStyle name="好_2009年一般性转移支付标准工资_不用软件计算9.1不考虑经费管理评价xl 3 2" xfId="1256"/>
    <cellStyle name="差_Book1_2 3 2" xfId="1257"/>
    <cellStyle name="差_Book1_县公司 2" xfId="1258"/>
    <cellStyle name="差_Book1_县公司 2 2" xfId="1259"/>
    <cellStyle name="差_Book1_银行账户情况表_2010年12月 2" xfId="1260"/>
    <cellStyle name="差_Book1_银行账户情况表_2010年12月 2 2" xfId="1261"/>
    <cellStyle name="汇总 2 2" xfId="1262"/>
    <cellStyle name="差_Book2 2 2" xfId="1263"/>
    <cellStyle name="差_M01-2(州市补助收入) 2 2" xfId="1264"/>
    <cellStyle name="差_M03" xfId="1265"/>
    <cellStyle name="差_M03 2" xfId="1266"/>
    <cellStyle name="好_Book1_2 4" xfId="1267"/>
    <cellStyle name="差_M03 2 2" xfId="1268"/>
    <cellStyle name="差_不用软件计算9.1不考虑经费管理评价xl" xfId="1269"/>
    <cellStyle name="差_不用软件计算9.1不考虑经费管理评价xl 2" xfId="1270"/>
    <cellStyle name="差_不用软件计算9.1不考虑经费管理评价xl 2 2" xfId="1271"/>
    <cellStyle name="差_财政供养人员" xfId="1272"/>
    <cellStyle name="差_财政供养人员 2" xfId="1273"/>
    <cellStyle name="差_财政供养人员 2 2" xfId="1274"/>
    <cellStyle name="常规 2 12" xfId="1275"/>
    <cellStyle name="差_财政支出对上级的依赖程度" xfId="1276"/>
    <cellStyle name="差_城建部门" xfId="1277"/>
    <cellStyle name="差_城建部门 2" xfId="1278"/>
    <cellStyle name="差_地方配套按人均增幅控制8.30xl" xfId="1279"/>
    <cellStyle name="强调 2" xfId="1280"/>
    <cellStyle name="差_地方配套按人均增幅控制8.30一般预算平均增幅、人均可用财力平均增幅两次控制、社会治安系数调整、案件数调整xl 2 2" xfId="1281"/>
    <cellStyle name="差_地方配套按人均增幅控制8.31（调整结案率后）xl" xfId="1282"/>
    <cellStyle name="差_地方配套按人均增幅控制8.31（调整结案率后）xl 2" xfId="1283"/>
    <cellStyle name="差_地方配套按人均增幅控制8.31（调整结案率后）xl 2 2" xfId="1284"/>
    <cellStyle name="差_第五部分(才淼、饶永宏）" xfId="1285"/>
    <cellStyle name="差_第五部分(才淼、饶永宏） 2" xfId="1286"/>
    <cellStyle name="差_第五部分(才淼、饶永宏） 2 2" xfId="1287"/>
    <cellStyle name="千位分隔 5 2" xfId="1288"/>
    <cellStyle name="差_第一部分：综合全" xfId="1289"/>
    <cellStyle name="差_第一部分：综合全 2" xfId="1290"/>
    <cellStyle name="日期 3" xfId="1291"/>
    <cellStyle name="差_高中教师人数（教育厅1.6日提供）" xfId="1292"/>
    <cellStyle name="差_高中教师人数（教育厅1.6日提供） 2" xfId="1293"/>
    <cellStyle name="常规 22 7" xfId="1294"/>
    <cellStyle name="差_高中教师人数（教育厅1.6日提供） 2 2" xfId="1295"/>
    <cellStyle name="差_汇总" xfId="1296"/>
    <cellStyle name="差_汇总 2" xfId="1297"/>
    <cellStyle name="差_汇总 2 2" xfId="1298"/>
    <cellStyle name="差_汇总-县级财政报表附表" xfId="1299"/>
    <cellStyle name="差_汇总-县级财政报表附表 2" xfId="1300"/>
    <cellStyle name="好_奖励补助测算7.25 11" xfId="1301"/>
    <cellStyle name="差_汇总-县级财政报表附表 3 2" xfId="1302"/>
    <cellStyle name="差_基础数据分析" xfId="1303"/>
    <cellStyle name="差_检验表" xfId="1304"/>
    <cellStyle name="差_检验表 2" xfId="1305"/>
    <cellStyle name="差_银行账户情况表_2010年12月 2 2" xfId="1306"/>
    <cellStyle name="差_检验表（调整后）" xfId="1307"/>
    <cellStyle name="好_县级公安机关公用经费标准奖励测算方案（定稿）" xfId="1308"/>
    <cellStyle name="差_检验表（调整后） 2" xfId="1309"/>
    <cellStyle name="差_建行" xfId="1310"/>
    <cellStyle name="差_建行 2" xfId="1311"/>
    <cellStyle name="差_建行 2 2" xfId="1312"/>
    <cellStyle name="差_奖励补助测算5.22测试" xfId="1313"/>
    <cellStyle name="差_奖励补助测算5.22测试 2" xfId="1314"/>
    <cellStyle name="差_奖励补助测算5.22测试 2 2" xfId="1315"/>
    <cellStyle name="日期" xfId="1316"/>
    <cellStyle name="差_奖励补助测算5.23新" xfId="1317"/>
    <cellStyle name="日期 2" xfId="1318"/>
    <cellStyle name="差_奖励补助测算5.23新 2" xfId="1319"/>
    <cellStyle name="差_奖励补助测算5.23新 2 2" xfId="1320"/>
    <cellStyle name="好_2006年在职人员情况 2 2" xfId="1321"/>
    <cellStyle name="差_奖励补助测算5.24冯铸" xfId="1322"/>
    <cellStyle name="常规 11 4" xfId="1323"/>
    <cellStyle name="差_奖励补助测算5.24冯铸 2" xfId="1324"/>
    <cellStyle name="差_奖励补助测算5.24冯铸 2 2" xfId="1325"/>
    <cellStyle name="差_奖励补助测算7.23" xfId="1326"/>
    <cellStyle name="差_奖励补助测算7.23 2" xfId="1327"/>
    <cellStyle name="差_奖励补助测算7.23 2 2" xfId="1328"/>
    <cellStyle name="差_奖励补助测算7.25" xfId="1329"/>
    <cellStyle name="好_教育厅提供义务教育及高中教师人数（2009年1月6日） 2 2" xfId="1330"/>
    <cellStyle name="差_奖励补助测算7.25 6" xfId="1331"/>
    <cellStyle name="差_奖励补助测算7.25 11" xfId="1332"/>
    <cellStyle name="差_奖励补助测算7.25 3" xfId="1333"/>
    <cellStyle name="差_奖励补助测算7.25 3 2" xfId="1334"/>
    <cellStyle name="差_奖励补助测算7.25 4" xfId="1335"/>
    <cellStyle name="差_奖励补助测算7.25 4 2" xfId="1336"/>
    <cellStyle name="差_奖励补助测算7.25 7" xfId="1337"/>
    <cellStyle name="差_奖励补助测算7.25 8" xfId="1338"/>
    <cellStyle name="好_重点项目表2012 (2)" xfId="1339"/>
    <cellStyle name="差_奖励补助测算7.25 9" xfId="1340"/>
    <cellStyle name="好_地方配套按人均增幅控制8.30xl 3 2" xfId="1341"/>
    <cellStyle name="差_教育厅提供义务教育及高中教师人数（2009年1月6日） 2" xfId="1342"/>
    <cellStyle name="差_教育厅提供义务教育及高中教师人数（2009年1月6日） 2 2" xfId="1343"/>
    <cellStyle name="差_历年教师人数" xfId="1344"/>
    <cellStyle name="差_历年教师人数 2" xfId="1345"/>
    <cellStyle name="差_丽江汇总" xfId="1346"/>
    <cellStyle name="差_丽江汇总 2" xfId="1347"/>
    <cellStyle name="差_三季度－表二" xfId="1348"/>
    <cellStyle name="差_三季度－表二 2" xfId="1349"/>
    <cellStyle name="差_三季度－表二 2 2" xfId="1350"/>
    <cellStyle name="链接单元格 2 2" xfId="1351"/>
    <cellStyle name="货币 2 2 3" xfId="1352"/>
    <cellStyle name="差_卫生部门" xfId="1353"/>
    <cellStyle name="差_卫生部门 2" xfId="1354"/>
    <cellStyle name="常规 2 5 4" xfId="1355"/>
    <cellStyle name="差_卫生部门 2 2" xfId="1356"/>
    <cellStyle name="好_2009年一般性转移支付标准工资_奖励补助测算7.23 3 2" xfId="1357"/>
    <cellStyle name="差_文体广播部门" xfId="1358"/>
    <cellStyle name="差_文体广播部门 2" xfId="1359"/>
    <cellStyle name="差_下半年禁毒办案经费分配2544.3万元" xfId="1360"/>
    <cellStyle name="差_下半年禁毒办案经费分配2544.3万元 2" xfId="1361"/>
    <cellStyle name="差_下半年禁吸戒毒经费1000万元" xfId="1362"/>
    <cellStyle name="差_下半年禁吸戒毒经费1000万元 2" xfId="1363"/>
    <cellStyle name="差_下半年禁吸戒毒经费1000万元 2 2" xfId="1364"/>
    <cellStyle name="差_县公司" xfId="1365"/>
    <cellStyle name="输出 2 3" xfId="1366"/>
    <cellStyle name="差_县公司 2" xfId="1367"/>
    <cellStyle name="差_县公司 2 2" xfId="1368"/>
    <cellStyle name="好_~4190974 2" xfId="1369"/>
    <cellStyle name="差_县级公安机关公用经费标准奖励测算方案（定稿）" xfId="1370"/>
    <cellStyle name="好_~4190974 2 2" xfId="1371"/>
    <cellStyle name="差_县级公安机关公用经费标准奖励测算方案（定稿） 2" xfId="1372"/>
    <cellStyle name="差_县级公安机关公用经费标准奖励测算方案（定稿） 2 2" xfId="1373"/>
    <cellStyle name="差_县级基础数据" xfId="1374"/>
    <cellStyle name="差_县级基础数据 2" xfId="1375"/>
    <cellStyle name="差_业务工作量指标 2" xfId="1376"/>
    <cellStyle name="差_业务工作量指标 2 2" xfId="1377"/>
    <cellStyle name="好_2007年检察院案件数 3 2" xfId="1378"/>
    <cellStyle name="差_义务教育阶段教职工人数（教育厅提供最终） 2 2" xfId="1379"/>
    <cellStyle name="差_云南农村义务教育统计表 2" xfId="1380"/>
    <cellStyle name="差_云南农村义务教育统计表 2 2" xfId="1381"/>
    <cellStyle name="好_11大理 2" xfId="1382"/>
    <cellStyle name="差_云南省2008年中小学教师人数统计表" xfId="1383"/>
    <cellStyle name="好_11大理 2 2" xfId="1384"/>
    <cellStyle name="差_云南省2008年中小学教师人数统计表 2" xfId="1385"/>
    <cellStyle name="强调 3 4 2" xfId="1386"/>
    <cellStyle name="好_05玉溪 2" xfId="1387"/>
    <cellStyle name="差_云南省2008年中小学教职工情况（教育厅提供20090101加工整理）" xfId="1388"/>
    <cellStyle name="好_05玉溪 2 2" xfId="1389"/>
    <cellStyle name="差_云南省2008年中小学教职工情况（教育厅提供20090101加工整理） 2" xfId="1390"/>
    <cellStyle name="差_云南省2008年中小学教职工情况（教育厅提供20090101加工整理） 2 2" xfId="1391"/>
    <cellStyle name="差_云南省2008年转移支付测算——州市本级考核部分及政策性测算" xfId="1392"/>
    <cellStyle name="差_云南省2008年转移支付测算——州市本级考核部分及政策性测算 2" xfId="1393"/>
    <cellStyle name="分级显示行_1_13区汇总" xfId="1394"/>
    <cellStyle name="差_云南省2008年转移支付测算——州市本级考核部分及政策性测算 2 2" xfId="1395"/>
    <cellStyle name="常规 22 3" xfId="1396"/>
    <cellStyle name="常规 17 3" xfId="1397"/>
    <cellStyle name="差_云南水利电力有限公司" xfId="1398"/>
    <cellStyle name="常规 22 3 2" xfId="1399"/>
    <cellStyle name="差_云南水利电力有限公司 2" xfId="1400"/>
    <cellStyle name="差_云南水利电力有限公司 2 2" xfId="1401"/>
    <cellStyle name="差_指标四" xfId="1402"/>
    <cellStyle name="差_指标四 2" xfId="1403"/>
    <cellStyle name="好_奖励补助测算5.23新" xfId="1404"/>
    <cellStyle name="差_指标五" xfId="1405"/>
    <cellStyle name="好_奖励补助测算5.23新 2" xfId="1406"/>
    <cellStyle name="差_指标五 2" xfId="1407"/>
    <cellStyle name="好_2009年一般性转移支付标准工资_地方配套按人均增幅控制8.31（调整结案率后）xl 2 2" xfId="1408"/>
    <cellStyle name="差_重点项目表2012 (2)" xfId="1409"/>
    <cellStyle name="差_重点项目表2012 (2) 2" xfId="1410"/>
    <cellStyle name="差_重点项目表2012 (2) 2 2" xfId="1411"/>
    <cellStyle name="常规 10 4" xfId="1412"/>
    <cellStyle name="常规 11 2" xfId="1413"/>
    <cellStyle name="常规 12 2" xfId="1414"/>
    <cellStyle name="常规 12 3" xfId="1415"/>
    <cellStyle name="好_11大理" xfId="1416"/>
    <cellStyle name="常规 12 4" xfId="1417"/>
    <cellStyle name="常规 13" xfId="1418"/>
    <cellStyle name="常规 13 2" xfId="1419"/>
    <cellStyle name="常规 13 3" xfId="1420"/>
    <cellStyle name="常规 20 2" xfId="1421"/>
    <cellStyle name="常规 15 2" xfId="1422"/>
    <cellStyle name="常规 20 2 2" xfId="1423"/>
    <cellStyle name="常规 15 2 2" xfId="1424"/>
    <cellStyle name="常规 20 3" xfId="1425"/>
    <cellStyle name="常规 15 3" xfId="1426"/>
    <cellStyle name="常规 20 4" xfId="1427"/>
    <cellStyle name="常规 15 4" xfId="1428"/>
    <cellStyle name="适中 2 2" xfId="1429"/>
    <cellStyle name="常规 20 5" xfId="1430"/>
    <cellStyle name="常规 15 5" xfId="1431"/>
    <cellStyle name="常规 21 2" xfId="1432"/>
    <cellStyle name="常规 16 2" xfId="1433"/>
    <cellStyle name="常规 16 2 2" xfId="1434"/>
    <cellStyle name="常规 16 2 3" xfId="1435"/>
    <cellStyle name="常规 21 3" xfId="1436"/>
    <cellStyle name="常规 16 3" xfId="1437"/>
    <cellStyle name="常规 21 4" xfId="1438"/>
    <cellStyle name="常规 16 4" xfId="1439"/>
    <cellStyle name="常规 16 5" xfId="1440"/>
    <cellStyle name="常规 22" xfId="1441"/>
    <cellStyle name="常规 17" xfId="1442"/>
    <cellStyle name="常规 22 2" xfId="1443"/>
    <cellStyle name="常规 17 2" xfId="1444"/>
    <cellStyle name="常规 22 2 2" xfId="1445"/>
    <cellStyle name="常规 17 2 2" xfId="1446"/>
    <cellStyle name="常规 17 2 3" xfId="1447"/>
    <cellStyle name="常规 22 4" xfId="1448"/>
    <cellStyle name="常规 17 4" xfId="1449"/>
    <cellStyle name="常规 22 5" xfId="1450"/>
    <cellStyle name="常规 17 5" xfId="1451"/>
    <cellStyle name="常规 23" xfId="1452"/>
    <cellStyle name="常规 18" xfId="1453"/>
    <cellStyle name="常规 23 2" xfId="1454"/>
    <cellStyle name="常规 18 2" xfId="1455"/>
    <cellStyle name="常规 18 2 2" xfId="1456"/>
    <cellStyle name="常规 18 2 3" xfId="1457"/>
    <cellStyle name="常规 23 3" xfId="1458"/>
    <cellStyle name="常规 18 3" xfId="1459"/>
    <cellStyle name="常规 18 3 2" xfId="1460"/>
    <cellStyle name="常规 18 5" xfId="1461"/>
    <cellStyle name="常规 18 6" xfId="1462"/>
    <cellStyle name="常规 24" xfId="1463"/>
    <cellStyle name="常规 19" xfId="1464"/>
    <cellStyle name="常规 24 2" xfId="1465"/>
    <cellStyle name="常规 19 2" xfId="1466"/>
    <cellStyle name="常规 19 2 2" xfId="1467"/>
    <cellStyle name="常规 19 2 3" xfId="1468"/>
    <cellStyle name="常规 24 3" xfId="1469"/>
    <cellStyle name="常规 19 3" xfId="1470"/>
    <cellStyle name="常规 19 3 2" xfId="1471"/>
    <cellStyle name="常规 24 4" xfId="1472"/>
    <cellStyle name="常规 19 4" xfId="1473"/>
    <cellStyle name="常规 19 6" xfId="1474"/>
    <cellStyle name="常规 2" xfId="1475"/>
    <cellStyle name="常规 2 10" xfId="1476"/>
    <cellStyle name="常规 2 11" xfId="1477"/>
    <cellStyle name="常规 2 2" xfId="1478"/>
    <cellStyle name="常规 2 2 2" xfId="1479"/>
    <cellStyle name="常规 2 2 2 2 2" xfId="1480"/>
    <cellStyle name="常规 2 2 2 3" xfId="1481"/>
    <cellStyle name="常规 2 2 2 3 2" xfId="1482"/>
    <cellStyle name="强调文字颜色 1 2" xfId="1483"/>
    <cellStyle name="常规 2 2 2 4 2" xfId="1484"/>
    <cellStyle name="常规 2 2 2 4 3" xfId="1485"/>
    <cellStyle name="常规 2 2 3" xfId="1486"/>
    <cellStyle name="常规 2 2 4" xfId="1487"/>
    <cellStyle name="常规 2 2 5" xfId="1488"/>
    <cellStyle name="常规 2 3" xfId="1489"/>
    <cellStyle name="常规 2 3 2" xfId="1490"/>
    <cellStyle name="常规 2 3 2 2" xfId="1491"/>
    <cellStyle name="常规 2 3 2 2 2" xfId="1492"/>
    <cellStyle name="常规 2 3 2 3" xfId="1493"/>
    <cellStyle name="常规 2 3 3" xfId="1494"/>
    <cellStyle name="常规 2 4" xfId="1495"/>
    <cellStyle name="常规 2 4 2" xfId="1496"/>
    <cellStyle name="常规 2 4 2 2" xfId="1497"/>
    <cellStyle name="输出 2 2 2" xfId="1498"/>
    <cellStyle name="常规 2 4 2 3" xfId="1499"/>
    <cellStyle name="常规 2 4 3" xfId="1500"/>
    <cellStyle name="常规 2 4 4" xfId="1501"/>
    <cellStyle name="常规 2 4 5" xfId="1502"/>
    <cellStyle name="常规 2 5" xfId="1503"/>
    <cellStyle name="常规 2 5 2" xfId="1504"/>
    <cellStyle name="常规 2 5 3" xfId="1505"/>
    <cellStyle name="常规 2 6" xfId="1506"/>
    <cellStyle name="常规 2 6 4" xfId="1507"/>
    <cellStyle name="常规 2 7" xfId="1508"/>
    <cellStyle name="常规 2 7 3" xfId="1509"/>
    <cellStyle name="好_三季度－表二 2" xfId="1510"/>
    <cellStyle name="常规 2 7 4" xfId="1511"/>
    <cellStyle name="输入 2" xfId="1512"/>
    <cellStyle name="常规 2 8" xfId="1513"/>
    <cellStyle name="输入 2 2" xfId="1514"/>
    <cellStyle name="常规 2 8 2" xfId="1515"/>
    <cellStyle name="输入 2 3" xfId="1516"/>
    <cellStyle name="常规 2 8 3" xfId="1517"/>
    <cellStyle name="常规 2 9" xfId="1518"/>
    <cellStyle name="常规 2 9 2" xfId="1519"/>
    <cellStyle name="常规 2 9 2 2" xfId="1520"/>
    <cellStyle name="常规 2 9 3" xfId="1521"/>
    <cellStyle name="常规 2_02-2008决算报表格式" xfId="1522"/>
    <cellStyle name="常规 22 3 3" xfId="1523"/>
    <cellStyle name="常规 22 4 2" xfId="1524"/>
    <cellStyle name="常规 22 4 3" xfId="1525"/>
    <cellStyle name="常规 22 6" xfId="1526"/>
    <cellStyle name="常规 30 2" xfId="1527"/>
    <cellStyle name="常规 25 2" xfId="1528"/>
    <cellStyle name="常规 25 3" xfId="1529"/>
    <cellStyle name="常规 27 2" xfId="1530"/>
    <cellStyle name="常规 33" xfId="1531"/>
    <cellStyle name="常规 28" xfId="1532"/>
    <cellStyle name="常规 29" xfId="1533"/>
    <cellStyle name="常规 3" xfId="1534"/>
    <cellStyle name="常规 3 2" xfId="1535"/>
    <cellStyle name="常规 3 2 2" xfId="1536"/>
    <cellStyle name="常规 3 3" xfId="1537"/>
    <cellStyle name="常规 3 3 2" xfId="1538"/>
    <cellStyle name="常规 3 3 3" xfId="1539"/>
    <cellStyle name="常规 3 4" xfId="1540"/>
    <cellStyle name="常规 3 4 2" xfId="1541"/>
    <cellStyle name="常规 3 5" xfId="1542"/>
    <cellStyle name="常规 3 7" xfId="1543"/>
    <cellStyle name="常规 3 8" xfId="1544"/>
    <cellStyle name="常规 4" xfId="1545"/>
    <cellStyle name="常规 4 2" xfId="1546"/>
    <cellStyle name="常规 4 4" xfId="1547"/>
    <cellStyle name="常规 4 2 2" xfId="1548"/>
    <cellStyle name="常规 4 3" xfId="1549"/>
    <cellStyle name="常规 5 4" xfId="1550"/>
    <cellStyle name="常规 4 3 2" xfId="1551"/>
    <cellStyle name="常规 6 4" xfId="1552"/>
    <cellStyle name="常规 4 4 2" xfId="1553"/>
    <cellStyle name="常规 4 5" xfId="1554"/>
    <cellStyle name="常规 4 6" xfId="1555"/>
    <cellStyle name="常规 4 7" xfId="1556"/>
    <cellStyle name="常规 4 8" xfId="1557"/>
    <cellStyle name="常规 40" xfId="1558"/>
    <cellStyle name="貨幣_SGV" xfId="1559"/>
    <cellStyle name="常规 40 2" xfId="1560"/>
    <cellStyle name="常规 40 2 2" xfId="1561"/>
    <cellStyle name="常规 40 2 3" xfId="1562"/>
    <cellStyle name="常规 40 3" xfId="1563"/>
    <cellStyle name="常规 40 3 2" xfId="1564"/>
    <cellStyle name="常规 40 4" xfId="1565"/>
    <cellStyle name="常规 40 5" xfId="1566"/>
    <cellStyle name="常规 5 2" xfId="1567"/>
    <cellStyle name="常规 5 2 2" xfId="1568"/>
    <cellStyle name="常规 5 2 3" xfId="1569"/>
    <cellStyle name="常规 5 2_2009年1-2重点建设项目及重大前期项目" xfId="1570"/>
    <cellStyle name="常规 5 3" xfId="1571"/>
    <cellStyle name="常规 5 6" xfId="1572"/>
    <cellStyle name="常规 6" xfId="1573"/>
    <cellStyle name="常规 6 2" xfId="1574"/>
    <cellStyle name="常规 6 2 2" xfId="1575"/>
    <cellStyle name="好_财政供养人员" xfId="1576"/>
    <cellStyle name="常规 6 3" xfId="1577"/>
    <cellStyle name="常规 7 2" xfId="1578"/>
    <cellStyle name="常规 7 2 2" xfId="1579"/>
    <cellStyle name="常规 7 2 3" xfId="1580"/>
    <cellStyle name="常规 7 3" xfId="1581"/>
    <cellStyle name="常规 7 4" xfId="1582"/>
    <cellStyle name="常规 7 5" xfId="1583"/>
    <cellStyle name="好_第五部分(才淼、饶永宏） 2" xfId="1584"/>
    <cellStyle name="常规 8" xfId="1585"/>
    <cellStyle name="好_第五部分(才淼、饶永宏） 2 2" xfId="1586"/>
    <cellStyle name="常规 8 2" xfId="1587"/>
    <cellStyle name="常规 8 3" xfId="1588"/>
    <cellStyle name="常规 8 4" xfId="1589"/>
    <cellStyle name="好_第五部分(才淼、饶永宏） 3" xfId="1590"/>
    <cellStyle name="常规 9" xfId="1591"/>
    <cellStyle name="常规 9 3" xfId="1592"/>
    <cellStyle name="常规 9 4" xfId="1593"/>
    <cellStyle name="常规_07年财力" xfId="1594"/>
    <cellStyle name="常规_2014年人大报告表2014.1.15(正确）" xfId="1595"/>
    <cellStyle name="常规_Sheet1" xfId="1596"/>
    <cellStyle name="常规_全县" xfId="1597"/>
    <cellStyle name="好_云南农村义务教育统计表 3 2" xfId="1598"/>
    <cellStyle name="超级链接 2 2" xfId="1599"/>
    <cellStyle name="好_奖励补助测算5.24冯铸 2 2" xfId="1600"/>
    <cellStyle name="分级显示列_1_Book1" xfId="1601"/>
    <cellStyle name="好 2 2" xfId="1602"/>
    <cellStyle name="好 3" xfId="1603"/>
    <cellStyle name="好 3 2" xfId="1604"/>
    <cellStyle name="好_~4190974" xfId="1605"/>
    <cellStyle name="好_~4190974 3" xfId="1606"/>
    <cellStyle name="好_银行账户情况表_2010年12月" xfId="1607"/>
    <cellStyle name="好_高中教师人数（教育厅1.6日提供）" xfId="1608"/>
    <cellStyle name="好_~5676413" xfId="1609"/>
    <cellStyle name="好_00省级(打印) 2 2" xfId="1610"/>
    <cellStyle name="好_00省级(打印) 3 2" xfId="1611"/>
    <cellStyle name="好_00省级(定稿)" xfId="1612"/>
    <cellStyle name="好_00省级(定稿) 2" xfId="1613"/>
    <cellStyle name="好_00省级(定稿) 3" xfId="1614"/>
    <cellStyle name="好_00省级(定稿) 3 2" xfId="1615"/>
    <cellStyle name="好_03昭通" xfId="1616"/>
    <cellStyle name="好_03昭通 2 2" xfId="1617"/>
    <cellStyle name="好_0502通海县 2" xfId="1618"/>
    <cellStyle name="好_0502通海县 3" xfId="1619"/>
    <cellStyle name="好_0502通海县 3 2" xfId="1620"/>
    <cellStyle name="强调 3 4" xfId="1621"/>
    <cellStyle name="好_05玉溪" xfId="1622"/>
    <cellStyle name="好_05玉溪 3" xfId="1623"/>
    <cellStyle name="好_05玉溪 3 2" xfId="1624"/>
    <cellStyle name="好_0605石屏县 2" xfId="1625"/>
    <cellStyle name="好_0605石屏县 3" xfId="1626"/>
    <cellStyle name="好_0605石屏县 3 2" xfId="1627"/>
    <cellStyle name="好_1003牟定县" xfId="1628"/>
    <cellStyle name="好_1003牟定县 2" xfId="1629"/>
    <cellStyle name="好_1003牟定县 2 2" xfId="1630"/>
    <cellStyle name="好_1110洱源县" xfId="1631"/>
    <cellStyle name="好_1110洱源县 3" xfId="1632"/>
    <cellStyle name="好_1110洱源县 3 2" xfId="1633"/>
    <cellStyle name="霓付 [0]_ +Foil &amp; -FOIL &amp; PAPER" xfId="1634"/>
    <cellStyle name="好_11大理 3" xfId="1635"/>
    <cellStyle name="好_11大理 3 2" xfId="1636"/>
    <cellStyle name="好_2、土地面积、人口、粮食产量基本情况" xfId="1637"/>
    <cellStyle name="好_2、土地面积、人口、粮食产量基本情况 2" xfId="1638"/>
    <cellStyle name="好_2、土地面积、人口、粮食产量基本情况 2 2" xfId="1639"/>
    <cellStyle name="好_2、土地面积、人口、粮食产量基本情况 3" xfId="1640"/>
    <cellStyle name="好_2、土地面积、人口、粮食产量基本情况 3 2" xfId="1641"/>
    <cellStyle name="好_2006年基础数据" xfId="1642"/>
    <cellStyle name="好_教师绩效工资测算表（离退休按各地上报数测算）2009年1月1日" xfId="1643"/>
    <cellStyle name="好_2006年基础数据 2" xfId="1644"/>
    <cellStyle name="好_教师绩效工资测算表（离退休按各地上报数测算）2009年1月1日 2" xfId="1645"/>
    <cellStyle name="好_2006年基础数据 2 2" xfId="1646"/>
    <cellStyle name="好_2006年基础数据 3" xfId="1647"/>
    <cellStyle name="好_2006年基础数据 3 2" xfId="1648"/>
    <cellStyle name="数量 2" xfId="1649"/>
    <cellStyle name="好_2006年全省财力计算表（中央、决算）" xfId="1650"/>
    <cellStyle name="好_2006年全省财力计算表（中央、决算） 2" xfId="1651"/>
    <cellStyle name="好_2006年全省财力计算表（中央、决算） 2 2" xfId="1652"/>
    <cellStyle name="好_2006年全省财力计算表（中央、决算） 3" xfId="1653"/>
    <cellStyle name="好_2006年水利统计指标统计表" xfId="1654"/>
    <cellStyle name="好_2006年水利统计指标统计表 2" xfId="1655"/>
    <cellStyle name="好_2006年水利统计指标统计表 2 2" xfId="1656"/>
    <cellStyle name="好_2006年水利统计指标统计表 3" xfId="1657"/>
    <cellStyle name="好_2006年水利统计指标统计表 3 2" xfId="1658"/>
    <cellStyle name="好_2006年在职人员情况" xfId="1659"/>
    <cellStyle name="好_2006年在职人员情况 2" xfId="1660"/>
    <cellStyle name="好_2006年在职人员情况 3" xfId="1661"/>
    <cellStyle name="好_2006年在职人员情况 3 2" xfId="1662"/>
    <cellStyle name="好_2007年检察院案件数" xfId="1663"/>
    <cellStyle name="好_2007年检察院案件数 2" xfId="1664"/>
    <cellStyle name="好_2007年检察院案件数 2 2" xfId="1665"/>
    <cellStyle name="好_2007年可用财力" xfId="1666"/>
    <cellStyle name="好_2007年人员分部门统计表" xfId="1667"/>
    <cellStyle name="好_2007年人员分部门统计表 2" xfId="1668"/>
    <cellStyle name="好_2007年人员分部门统计表 2 2" xfId="1669"/>
    <cellStyle name="好_2007年人员分部门统计表 3" xfId="1670"/>
    <cellStyle name="好_2007年人员分部门统计表 3 2" xfId="1671"/>
    <cellStyle name="㼿㼿㼿㼿㼿㼿" xfId="1672"/>
    <cellStyle name="好_2007年政法部门业务指标" xfId="1673"/>
    <cellStyle name="㼿㼿㼿㼿㼿㼿 2" xfId="1674"/>
    <cellStyle name="好_2007年政法部门业务指标 2" xfId="1675"/>
    <cellStyle name="好_2007年政法部门业务指标 2 2" xfId="1676"/>
    <cellStyle name="好_2008年县级公安保障标准落实奖励经费分配测算" xfId="1677"/>
    <cellStyle name="好_2008年县级公安保障标准落实奖励经费分配测算 2" xfId="1678"/>
    <cellStyle name="好_2008云南省分县市中小学教职工统计表（教育厅提供）" xfId="1679"/>
    <cellStyle name="好_2008云南省分县市中小学教职工统计表（教育厅提供） 2" xfId="1680"/>
    <cellStyle name="好_2008云南省分县市中小学教职工统计表（教育厅提供） 2 2" xfId="1681"/>
    <cellStyle name="好_2008云南省分县市中小学教职工统计表（教育厅提供） 3" xfId="1682"/>
    <cellStyle name="好_2008云南省分县市中小学教职工统计表（教育厅提供） 3 2" xfId="1683"/>
    <cellStyle name="好_2009年一般性转移支付标准工资" xfId="1684"/>
    <cellStyle name="好_2009年一般性转移支付标准工资 2" xfId="1685"/>
    <cellStyle name="好_2009年一般性转移支付标准工资 2 2" xfId="1686"/>
    <cellStyle name="好_2009年一般性转移支付标准工资 3" xfId="1687"/>
    <cellStyle name="好_2009年一般性转移支付标准工资 3 2" xfId="1688"/>
    <cellStyle name="好_2009年一般性转移支付标准工资_~5676413" xfId="1689"/>
    <cellStyle name="好_2009年一般性转移支付标准工资_~5676413 2" xfId="1690"/>
    <cellStyle name="好_2009年一般性转移支付标准工资_~5676413 2 2" xfId="1691"/>
    <cellStyle name="好_2009年一般性转移支付标准工资_~5676413 3" xfId="1692"/>
    <cellStyle name="好_2009年一般性转移支付标准工资_~5676413 3 2" xfId="1693"/>
    <cellStyle name="好_2009年一般性转移支付标准工资_地方配套按人均增幅控制8.30xl" xfId="1694"/>
    <cellStyle name="好_2009年一般性转移支付标准工资_地方配套按人均增幅控制8.30xl 2" xfId="1695"/>
    <cellStyle name="好_2009年一般性转移支付标准工资_地方配套按人均增幅控制8.30xl 2 2" xfId="1696"/>
    <cellStyle name="好_2009年一般性转移支付标准工资_地方配套按人均增幅控制8.30xl 3" xfId="1697"/>
    <cellStyle name="好_2009年一般性转移支付标准工资_地方配套按人均增幅控制8.30xl 3 2" xfId="1698"/>
    <cellStyle name="好_Book1_2 4 2" xfId="1699"/>
    <cellStyle name="好_2009年一般性转移支付标准工资_地方配套按人均增幅控制8.30一般预算平均增幅、人均可用财力平均增幅两次控制、社会治安系数调整、案件数调整xl" xfId="1700"/>
    <cellStyle name="好_2009年一般性转移支付标准工资_地方配套按人均增幅控制8.30一般预算平均增幅、人均可用财力平均增幅两次控制、社会治安系数调整、案件数调整xl 2" xfId="1701"/>
    <cellStyle name="好_2009年一般性转移支付标准工资_地方配套按人均增幅控制8.30一般预算平均增幅、人均可用财力平均增幅两次控制、社会治安系数调整、案件数调整xl 2 2" xfId="1702"/>
    <cellStyle name="好_2009年一般性转移支付标准工资_地方配套按人均增幅控制8.30一般预算平均增幅、人均可用财力平均增幅两次控制、社会治安系数调整、案件数调整xl 3" xfId="1703"/>
    <cellStyle name="好_2009年一般性转移支付标准工资_地方配套按人均增幅控制8.30一般预算平均增幅、人均可用财力平均增幅两次控制、社会治安系数调整、案件数调整xl 3 2" xfId="1704"/>
    <cellStyle name="好_2009年一般性转移支付标准工资_地方配套按人均增幅控制8.31（调整结案率后）xl 2" xfId="1705"/>
    <cellStyle name="好_2009年一般性转移支付标准工资_地方配套按人均增幅控制8.31（调整结案率后）xl 3" xfId="1706"/>
    <cellStyle name="好_2009年一般性转移支付标准工资_地方配套按人均增幅控制8.31（调整结案率后）xl 3 2" xfId="1707"/>
    <cellStyle name="好_2009年一般性转移支付标准工资_奖励补助测算5.22测试" xfId="1708"/>
    <cellStyle name="好_2009年一般性转移支付标准工资_奖励补助测算5.23新" xfId="1709"/>
    <cellStyle name="好_云南省2008年转移支付测算——州市本级考核部分及政策性测算 2 2" xfId="1710"/>
    <cellStyle name="好_2009年一般性转移支付标准工资_奖励补助测算5.23新 3" xfId="1711"/>
    <cellStyle name="好_2009年一般性转移支付标准工资_奖励补助测算5.23新 3 2" xfId="1712"/>
    <cellStyle name="好_2009年一般性转移支付标准工资_奖励补助测算5.24冯铸" xfId="1713"/>
    <cellStyle name="好_2009年一般性转移支付标准工资_奖励补助测算5.24冯铸 2" xfId="1714"/>
    <cellStyle name="好_2009年一般性转移支付标准工资_奖励补助测算5.24冯铸 2 2" xfId="1715"/>
    <cellStyle name="好_2009年一般性转移支付标准工资_奖励补助测算5.24冯铸 3" xfId="1716"/>
    <cellStyle name="好_2009年一般性转移支付标准工资_奖励补助测算7.23" xfId="1717"/>
    <cellStyle name="好_2009年一般性转移支付标准工资_奖励补助测算7.23 2" xfId="1718"/>
    <cellStyle name="好_2009年一般性转移支付标准工资_奖励补助测算7.23 2 2" xfId="1719"/>
    <cellStyle name="好_2009年一般性转移支付标准工资_奖励补助测算7.23 3" xfId="1720"/>
    <cellStyle name="好_2009年一般性转移支付标准工资_奖励补助测算7.25" xfId="1721"/>
    <cellStyle name="好_2009年一般性转移支付标准工资_奖励补助测算7.25 (version 1) (version 1)" xfId="1722"/>
    <cellStyle name="好_2009年一般性转移支付标准工资_奖励补助测算7.25 (version 1) (version 1) 2" xfId="1723"/>
    <cellStyle name="好_2009年一般性转移支付标准工资_奖励补助测算7.25 (version 1) (version 1) 2 2" xfId="1724"/>
    <cellStyle name="好_2009年一般性转移支付标准工资_奖励补助测算7.25 (version 1) (version 1) 3" xfId="1725"/>
    <cellStyle name="好_指标四" xfId="1726"/>
    <cellStyle name="好_2009年一般性转移支付标准工资_奖励补助测算7.25 (version 1) (version 1) 3 2" xfId="1727"/>
    <cellStyle name="好_2009年一般性转移支付标准工资_奖励补助测算7.25 10 2" xfId="1728"/>
    <cellStyle name="好_2009年一般性转移支付标准工资_奖励补助测算7.25 11" xfId="1729"/>
    <cellStyle name="好_2009年一般性转移支付标准工资_奖励补助测算7.25 12" xfId="1730"/>
    <cellStyle name="好_2009年一般性转移支付标准工资_奖励补助测算7.25 13" xfId="1731"/>
    <cellStyle name="好_2009年一般性转移支付标准工资_奖励补助测算7.25 14" xfId="1732"/>
    <cellStyle name="好_2009年一般性转移支付标准工资_奖励补助测算7.25 15" xfId="1733"/>
    <cellStyle name="好_2009年一般性转移支付标准工资_奖励补助测算7.25 16" xfId="1734"/>
    <cellStyle name="好_2009年一般性转移支付标准工资_奖励补助测算7.25 17" xfId="1735"/>
    <cellStyle name="好_2009年一般性转移支付标准工资_奖励补助测算7.25 2" xfId="1736"/>
    <cellStyle name="好_2009年一般性转移支付标准工资_奖励补助测算7.25 2 2" xfId="1737"/>
    <cellStyle name="好_2009年一般性转移支付标准工资_奖励补助测算7.25 3" xfId="1738"/>
    <cellStyle name="好_2009年一般性转移支付标准工资_奖励补助测算7.25 3 2" xfId="1739"/>
    <cellStyle name="好_2009年一般性转移支付标准工资_奖励补助测算7.25 4" xfId="1740"/>
    <cellStyle name="好_2009年一般性转移支付标准工资_奖励补助测算7.25 4 2" xfId="1741"/>
    <cellStyle name="好_2009年一般性转移支付标准工资_奖励补助测算7.25 5" xfId="1742"/>
    <cellStyle name="好_2009年一般性转移支付标准工资_奖励补助测算7.25 5 2" xfId="1743"/>
    <cellStyle name="好_2009年一般性转移支付标准工资_奖励补助测算7.25 6" xfId="1744"/>
    <cellStyle name="好_2009年一般性转移支付标准工资_奖励补助测算7.25 6 2" xfId="1745"/>
    <cellStyle name="好_2009年一般性转移支付标准工资_奖励补助测算7.25 7" xfId="1746"/>
    <cellStyle name="好_2009年一般性转移支付标准工资_奖励补助测算7.25 7 2" xfId="1747"/>
    <cellStyle name="好_2009年一般性转移支付标准工资_奖励补助测算7.25 8" xfId="1748"/>
    <cellStyle name="好_2009年一般性转移支付标准工资_奖励补助测算7.25 8 2" xfId="1749"/>
    <cellStyle name="好_2009年一般性转移支付标准工资_奖励补助测算7.25 9" xfId="1750"/>
    <cellStyle name="好_530623_2006年县级财政报表附表" xfId="1751"/>
    <cellStyle name="好_530623_2006年县级财政报表附表 2 2" xfId="1752"/>
    <cellStyle name="好_530623_2006年县级财政报表附表 3" xfId="1753"/>
    <cellStyle name="好_530623_2006年县级财政报表附表 3 2" xfId="1754"/>
    <cellStyle name="货币 2 2 2" xfId="1755"/>
    <cellStyle name="好_530623_2006年县级财政报表附表 4" xfId="1756"/>
    <cellStyle name="好_530623_2006年县级财政报表附表 4 2" xfId="1757"/>
    <cellStyle name="好_530629_2006年县级财政报表附表" xfId="1758"/>
    <cellStyle name="好_530629_2006年县级财政报表附表 2" xfId="1759"/>
    <cellStyle name="好_530629_2006年县级财政报表附表 2 2" xfId="1760"/>
    <cellStyle name="好_530629_2006年县级财政报表附表 3" xfId="1761"/>
    <cellStyle name="好_530629_2006年县级财政报表附表 3 2" xfId="1762"/>
    <cellStyle name="好_5334_2006年迪庆县级财政报表附表" xfId="1763"/>
    <cellStyle name="好_5334_2006年迪庆县级财政报表附表 2 2" xfId="1764"/>
    <cellStyle name="好_5334_2006年迪庆县级财政报表附表 3" xfId="1765"/>
    <cellStyle name="好_5334_2006年迪庆县级财政报表附表 3 2" xfId="1766"/>
    <cellStyle name="好_Book1 2 2" xfId="1767"/>
    <cellStyle name="好_Book1 3" xfId="1768"/>
    <cellStyle name="好_不用软件计算9.1不考虑经费管理评价xl" xfId="1769"/>
    <cellStyle name="好_Book1 3 2" xfId="1770"/>
    <cellStyle name="好_Book1_1" xfId="1771"/>
    <cellStyle name="好_Book1_1 2" xfId="1772"/>
    <cellStyle name="好_Book1_1 2 2" xfId="1773"/>
    <cellStyle name="好_Book1_2" xfId="1774"/>
    <cellStyle name="好_Book1_2 2" xfId="1775"/>
    <cellStyle name="好_Book1_2 3" xfId="1776"/>
    <cellStyle name="好_汇总" xfId="1777"/>
    <cellStyle name="好_Book1_2 3 2" xfId="1778"/>
    <cellStyle name="好_Book1_县公司 2 2" xfId="1779"/>
    <cellStyle name="好_Book1_银行账户情况表_2010年12月" xfId="1780"/>
    <cellStyle name="好_Book1_银行账户情况表_2010年12月 2" xfId="1781"/>
    <cellStyle name="好_Book1_银行账户情况表_2010年12月 2 2" xfId="1782"/>
    <cellStyle name="强调文字颜色 6 2" xfId="1783"/>
    <cellStyle name="好_Book2" xfId="1784"/>
    <cellStyle name="强调文字颜色 6 2 2" xfId="1785"/>
    <cellStyle name="好_Book2 2" xfId="1786"/>
    <cellStyle name="好_Book2 2 2" xfId="1787"/>
    <cellStyle name="好_Book2 3" xfId="1788"/>
    <cellStyle name="好_Book2 3 2" xfId="1789"/>
    <cellStyle name="好_M01-2(州市补助收入) 2 2" xfId="1790"/>
    <cellStyle name="好_M01-2(州市补助收入) 3" xfId="1791"/>
    <cellStyle name="好_M03" xfId="1792"/>
    <cellStyle name="好_M03 2" xfId="1793"/>
    <cellStyle name="好_M03 2 2" xfId="1794"/>
    <cellStyle name="好_M03 3" xfId="1795"/>
    <cellStyle name="好_M03 3 2" xfId="1796"/>
    <cellStyle name="好_不用软件计算9.1不考虑经费管理评价xl 2" xfId="1797"/>
    <cellStyle name="好_不用软件计算9.1不考虑经费管理评价xl 2 2" xfId="1798"/>
    <cellStyle name="好_不用软件计算9.1不考虑经费管理评价xl 3" xfId="1799"/>
    <cellStyle name="千位分隔 5 3" xfId="1800"/>
    <cellStyle name="好_不用软件计算9.1不考虑经费管理评价xl 3 2" xfId="1801"/>
    <cellStyle name="好_财政供养人员 2" xfId="1802"/>
    <cellStyle name="好_财政供养人员 2 2" xfId="1803"/>
    <cellStyle name="好_财政供养人员 3" xfId="1804"/>
    <cellStyle name="好_财政供养人员 3 2" xfId="1805"/>
    <cellStyle name="好_财政支出对上级的依赖程度" xfId="1806"/>
    <cellStyle name="好_城建部门" xfId="1807"/>
    <cellStyle name="好_城建部门 2" xfId="1808"/>
    <cellStyle name="好_地方配套按人均增幅控制8.30xl" xfId="1809"/>
    <cellStyle name="好_地方配套按人均增幅控制8.30xl 2 2" xfId="1810"/>
    <cellStyle name="好_地方配套按人均增幅控制8.30一般预算平均增幅、人均可用财力平均增幅两次控制、社会治安系数调整、案件数调整xl" xfId="1811"/>
    <cellStyle name="好_地方配套按人均增幅控制8.30一般预算平均增幅、人均可用财力平均增幅两次控制、社会治安系数调整、案件数调整xl 2" xfId="1812"/>
    <cellStyle name="好_地方配套按人均增幅控制8.30一般预算平均增幅、人均可用财力平均增幅两次控制、社会治安系数调整、案件数调整xl 2 2" xfId="1813"/>
    <cellStyle name="好_地方配套按人均增幅控制8.30一般预算平均增幅、人均可用财力平均增幅两次控制、社会治安系数调整、案件数调整xl 3" xfId="1814"/>
    <cellStyle name="好_地方配套按人均增幅控制8.30一般预算平均增幅、人均可用财力平均增幅两次控制、社会治安系数调整、案件数调整xl 3 2" xfId="1815"/>
    <cellStyle name="好_地方配套按人均增幅控制8.31（调整结案率后）xl 3 2" xfId="1816"/>
    <cellStyle name="好_第五部分(才淼、饶永宏）" xfId="1817"/>
    <cellStyle name="好_汇总 2" xfId="1818"/>
    <cellStyle name="好_汇总 2 2" xfId="1819"/>
    <cellStyle name="好_汇总 3" xfId="1820"/>
    <cellStyle name="好_汇总 3 2" xfId="1821"/>
    <cellStyle name="好_基础数据分析" xfId="1822"/>
    <cellStyle name="好_基础数据分析 2" xfId="1823"/>
    <cellStyle name="好_基础数据分析 2 2" xfId="1824"/>
    <cellStyle name="后继超链接" xfId="1825"/>
    <cellStyle name="好_基础数据分析 3" xfId="1826"/>
    <cellStyle name="后继超链接 2" xfId="1827"/>
    <cellStyle name="好_基础数据分析 3 2" xfId="1828"/>
    <cellStyle name="好_检验表（调整后） 2" xfId="1829"/>
    <cellStyle name="好_建行" xfId="1830"/>
    <cellStyle name="好_建行 2" xfId="1831"/>
    <cellStyle name="好_建行 2 2" xfId="1832"/>
    <cellStyle name="好_建行 3" xfId="1833"/>
    <cellStyle name="好_建行 3 2" xfId="1834"/>
    <cellStyle name="好_奖励补助测算5.22测试" xfId="1835"/>
    <cellStyle name="好_奖励补助测算5.22测试 2 2" xfId="1836"/>
    <cellStyle name="好_奖励补助测算5.23新 2 2" xfId="1837"/>
    <cellStyle name="好_奖励补助测算5.23新 3" xfId="1838"/>
    <cellStyle name="好_奖励补助测算5.23新 3 2" xfId="1839"/>
    <cellStyle name="好_奖励补助测算5.24冯铸" xfId="1840"/>
    <cellStyle name="好_奖励补助测算5.24冯铸 2" xfId="1841"/>
    <cellStyle name="好_奖励补助测算5.24冯铸 3" xfId="1842"/>
    <cellStyle name="好_奖励补助测算5.24冯铸 3 2" xfId="1843"/>
    <cellStyle name="好_奖励补助测算7.23" xfId="1844"/>
    <cellStyle name="好_奖励补助测算7.23 2" xfId="1845"/>
    <cellStyle name="好_奖励补助测算7.23 2 2" xfId="1846"/>
    <cellStyle name="好_奖励补助测算7.23 3" xfId="1847"/>
    <cellStyle name="好_奖励补助测算7.25 (version 1) (version 1)" xfId="1848"/>
    <cellStyle name="好_奖励补助测算7.25 (version 1) (version 1) 2" xfId="1849"/>
    <cellStyle name="好_奖励补助测算7.25 (version 1) (version 1) 2 2" xfId="1850"/>
    <cellStyle name="好_奖励补助测算7.25 (version 1) (version 1) 3" xfId="1851"/>
    <cellStyle name="好_奖励补助测算7.25 10" xfId="1852"/>
    <cellStyle name="好_奖励补助测算7.25 10 2" xfId="1853"/>
    <cellStyle name="好_奖励补助测算7.25 12" xfId="1854"/>
    <cellStyle name="好_奖励补助测算7.25 13" xfId="1855"/>
    <cellStyle name="好_奖励补助测算7.25 14" xfId="1856"/>
    <cellStyle name="好_奖励补助测算7.25 16" xfId="1857"/>
    <cellStyle name="好_奖励补助测算7.25 17" xfId="1858"/>
    <cellStyle name="好_奖励补助测算7.25 2" xfId="1859"/>
    <cellStyle name="好_奖励补助测算7.25 2 2" xfId="1860"/>
    <cellStyle name="貨幣 [0]_SGV" xfId="1861"/>
    <cellStyle name="好_奖励补助测算7.25 3" xfId="1862"/>
    <cellStyle name="好_奖励补助测算7.25 3 2" xfId="1863"/>
    <cellStyle name="好_奖励补助测算7.25 4" xfId="1864"/>
    <cellStyle name="好_奖励补助测算7.25 4 2" xfId="1865"/>
    <cellStyle name="好_奖励补助测算7.25 5" xfId="1866"/>
    <cellStyle name="好_奖励补助测算7.25 6" xfId="1867"/>
    <cellStyle name="好_奖励补助测算7.25 7" xfId="1868"/>
    <cellStyle name="好_奖励补助测算7.25 7 2" xfId="1869"/>
    <cellStyle name="好_奖励补助测算7.25 8" xfId="1870"/>
    <cellStyle name="好_奖励补助测算7.25 8 2" xfId="1871"/>
    <cellStyle name="好_奖励补助测算7.25 9" xfId="1872"/>
    <cellStyle name="好_奖励补助测算7.25 9 2" xfId="1873"/>
    <cellStyle name="好_教育厅提供义务教育及高中教师人数（2009年1月6日）" xfId="1874"/>
    <cellStyle name="好_教育厅提供义务教育及高中教师人数（2009年1月6日） 2" xfId="1875"/>
    <cellStyle name="好_教育厅提供义务教育及高中教师人数（2009年1月6日） 3" xfId="1876"/>
    <cellStyle name="汇总 2 3" xfId="1877"/>
    <cellStyle name="好_教育厅提供义务教育及高中教师人数（2009年1月6日） 3 2" xfId="1878"/>
    <cellStyle name="好_历年教师人数 2" xfId="1879"/>
    <cellStyle name="好_丽江汇总" xfId="1880"/>
    <cellStyle name="好_丽江汇总 2" xfId="1881"/>
    <cellStyle name="好_三季度－表二" xfId="1882"/>
    <cellStyle name="好_三季度－表二 2 2" xfId="1883"/>
    <cellStyle name="好_三季度－表二 3" xfId="1884"/>
    <cellStyle name="好_三季度－表二 3 2" xfId="1885"/>
    <cellStyle name="好_卫生部门" xfId="1886"/>
    <cellStyle name="好_卫生部门 2" xfId="1887"/>
    <cellStyle name="好_卫生部门 2 2" xfId="1888"/>
    <cellStyle name="好_文体广播部门" xfId="1889"/>
    <cellStyle name="好_文体广播部门 2" xfId="1890"/>
    <cellStyle name="好_下半年禁吸戒毒经费1000万元" xfId="1891"/>
    <cellStyle name="好_下半年禁吸戒毒经费1000万元 2" xfId="1892"/>
    <cellStyle name="好_下半年禁吸戒毒经费1000万元 2 2" xfId="1893"/>
    <cellStyle name="好_下半年禁吸戒毒经费1000万元 3" xfId="1894"/>
    <cellStyle name="好_下半年禁吸戒毒经费1000万元 3 2" xfId="1895"/>
    <cellStyle name="好_县公司" xfId="1896"/>
    <cellStyle name="好_县公司 2" xfId="1897"/>
    <cellStyle name="好_县公司 2 2" xfId="1898"/>
    <cellStyle name="好_县公司 3" xfId="1899"/>
    <cellStyle name="好_县公司 3 2" xfId="1900"/>
    <cellStyle name="好_县级公安机关公用经费标准奖励测算方案（定稿） 2" xfId="1901"/>
    <cellStyle name="好_县级公安机关公用经费标准奖励测算方案（定稿） 2 2" xfId="1902"/>
    <cellStyle name="好_县级公安机关公用经费标准奖励测算方案（定稿） 3" xfId="1903"/>
    <cellStyle name="好_县级公安机关公用经费标准奖励测算方案（定稿） 3 2" xfId="1904"/>
    <cellStyle name="好_县级基础数据" xfId="1905"/>
    <cellStyle name="好_县级基础数据 2" xfId="1906"/>
    <cellStyle name="好_业务工作量指标" xfId="1907"/>
    <cellStyle name="好_业务工作量指标 2" xfId="1908"/>
    <cellStyle name="好_业务工作量指标 3" xfId="1909"/>
    <cellStyle name="好_业务工作量指标 3 2" xfId="1910"/>
    <cellStyle name="好_义务教育阶段教职工人数（教育厅提供最终）" xfId="1911"/>
    <cellStyle name="好_义务教育阶段教职工人数（教育厅提供最终） 2" xfId="1912"/>
    <cellStyle name="好_义务教育阶段教职工人数（教育厅提供最终） 2 2" xfId="1913"/>
    <cellStyle name="好_义务教育阶段教职工人数（教育厅提供最终） 3" xfId="1914"/>
    <cellStyle name="好_义务教育阶段教职工人数（教育厅提供最终） 3 2" xfId="1915"/>
    <cellStyle name="好_云南农村义务教育统计表" xfId="1916"/>
    <cellStyle name="好_云南农村义务教育统计表 2" xfId="1917"/>
    <cellStyle name="好_云南农村义务教育统计表 2 2" xfId="1918"/>
    <cellStyle name="好_云南省2008年中小学教师人数统计表" xfId="1919"/>
    <cellStyle name="好_云南省2008年中小学教师人数统计表 2" xfId="1920"/>
    <cellStyle name="好_云南省2008年中小学教职工情况（教育厅提供20090101加工整理）" xfId="1921"/>
    <cellStyle name="㼿㼿㼿㼿㼿㼿㼿㼿㼿㼿㼿? 3" xfId="1922"/>
    <cellStyle name="好_云南省2008年中小学教职工情况（教育厅提供20090101加工整理） 2" xfId="1923"/>
    <cellStyle name="好_云南省2008年中小学教职工情况（教育厅提供20090101加工整理） 3" xfId="1924"/>
    <cellStyle name="好_云南省2008年中小学教职工情况（教育厅提供20090101加工整理） 3 2" xfId="1925"/>
    <cellStyle name="好_云南省2008年转移支付测算——州市本级考核部分及政策性测算" xfId="1926"/>
    <cellStyle name="好_云南省2008年转移支付测算——州市本级考核部分及政策性测算 2" xfId="1927"/>
    <cellStyle name="好_云南省2008年转移支付测算——州市本级考核部分及政策性测算 3" xfId="1928"/>
    <cellStyle name="好_云南省2008年转移支付测算——州市本级考核部分及政策性测算 3 2" xfId="1929"/>
    <cellStyle name="好_云南水利电力有限公司 2" xfId="1930"/>
    <cellStyle name="好_云南水利电力有限公司 2 2" xfId="1931"/>
    <cellStyle name="好_云南水利电力有限公司 3" xfId="1932"/>
    <cellStyle name="好_云南水利电力有限公司 3 2" xfId="1933"/>
    <cellStyle name="好_指标四 2" xfId="1934"/>
    <cellStyle name="好_指标四 2 2" xfId="1935"/>
    <cellStyle name="货币 2" xfId="1936"/>
    <cellStyle name="好_指标五" xfId="1937"/>
    <cellStyle name="货币 2 2" xfId="1938"/>
    <cellStyle name="好_指标五 2" xfId="1939"/>
    <cellStyle name="好_重点项目表2012 (2) 2" xfId="1940"/>
    <cellStyle name="好_重点项目表2012 (2) 2 2" xfId="1941"/>
    <cellStyle name="好_重点项目表2012 (2) 3" xfId="1942"/>
    <cellStyle name="好_重点项目表2012 (2) 3 2" xfId="1943"/>
    <cellStyle name="后继超级链接" xfId="1944"/>
    <cellStyle name="后继超级链接 2" xfId="1945"/>
    <cellStyle name="后继超级链接 2 2" xfId="1946"/>
    <cellStyle name="后继超链接 2 2" xfId="1947"/>
    <cellStyle name="汇总 2 2 2" xfId="1948"/>
    <cellStyle name="汇总 2 2 3" xfId="1949"/>
    <cellStyle name="汇总 2 4" xfId="1950"/>
    <cellStyle name="货币 2 2 4" xfId="1951"/>
    <cellStyle name="货币 2 3" xfId="1952"/>
    <cellStyle name="货币 2 4" xfId="1953"/>
    <cellStyle name="货币 2 5" xfId="1954"/>
    <cellStyle name="计算 2" xfId="1955"/>
    <cellStyle name="计算 2 2" xfId="1956"/>
    <cellStyle name="计算 2 2 3" xfId="1957"/>
    <cellStyle name="计算 2 4" xfId="1958"/>
    <cellStyle name="检查单元格 2" xfId="1959"/>
    <cellStyle name="检查单元格 2 2" xfId="1960"/>
    <cellStyle name="解释性文本 2" xfId="1961"/>
    <cellStyle name="解释性文本 2 2" xfId="1962"/>
    <cellStyle name="借出原因" xfId="1963"/>
    <cellStyle name="借出原因 2" xfId="1964"/>
    <cellStyle name="借出原因 3" xfId="1965"/>
    <cellStyle name="链接单元格 2" xfId="1966"/>
    <cellStyle name="霓付_ +Foil &amp; -FOIL &amp; PAPER" xfId="1967"/>
    <cellStyle name="烹拳 [0]_ +Foil &amp; -FOIL &amp; PAPER" xfId="1968"/>
    <cellStyle name="烹拳_ +Foil &amp; -FOIL &amp; PAPER" xfId="1969"/>
    <cellStyle name="普通_ 白土" xfId="1970"/>
    <cellStyle name="千分位[0]_ 白土" xfId="1971"/>
    <cellStyle name="千位[0]_ 方正PC" xfId="1972"/>
    <cellStyle name="千位_ 方正PC" xfId="1973"/>
    <cellStyle name="千位分隔 2" xfId="1974"/>
    <cellStyle name="千位分隔 2 2" xfId="1975"/>
    <cellStyle name="千位分隔 2 2 2" xfId="1976"/>
    <cellStyle name="千位分隔 2 3" xfId="1977"/>
    <cellStyle name="千位分隔 3 2 2" xfId="1978"/>
    <cellStyle name="千位分隔 3 3" xfId="1979"/>
    <cellStyle name="千位分隔 3 4" xfId="1980"/>
    <cellStyle name="千位分隔 4" xfId="1981"/>
    <cellStyle name="千位分隔 4 2" xfId="1982"/>
    <cellStyle name="千位分隔 5" xfId="1983"/>
    <cellStyle name="千位分隔 6 2" xfId="1984"/>
    <cellStyle name="千位分隔[0] 2 3" xfId="1985"/>
    <cellStyle name="钎霖_4岿角利" xfId="1986"/>
    <cellStyle name="强调 1" xfId="1987"/>
    <cellStyle name="强调 1 2" xfId="1988"/>
    <cellStyle name="强调 1 2 2" xfId="1989"/>
    <cellStyle name="强调 1 3" xfId="1990"/>
    <cellStyle name="强调 1 3 2" xfId="1991"/>
    <cellStyle name="强调 2 2" xfId="1992"/>
    <cellStyle name="强调 2 2 2" xfId="1993"/>
    <cellStyle name="强调 2 3" xfId="1994"/>
    <cellStyle name="强调 2 3 2" xfId="1995"/>
    <cellStyle name="强调 2 4" xfId="1996"/>
    <cellStyle name="强调 2 4 2" xfId="1997"/>
    <cellStyle name="强调 3" xfId="1998"/>
    <cellStyle name="强调 3 2" xfId="1999"/>
    <cellStyle name="强调 3 2 2" xfId="2000"/>
    <cellStyle name="强调 3 3" xfId="2001"/>
    <cellStyle name="强调 3 3 2" xfId="2002"/>
    <cellStyle name="强调文字颜色 1 2 2" xfId="2003"/>
    <cellStyle name="强调文字颜色 2 2" xfId="2004"/>
    <cellStyle name="强调文字颜色 3 2" xfId="2005"/>
    <cellStyle name="强调文字颜色 5 2" xfId="2006"/>
    <cellStyle name="日期 4" xfId="2007"/>
    <cellStyle name="商品名称" xfId="2008"/>
    <cellStyle name="商品名称 2" xfId="2009"/>
    <cellStyle name="商品名称 3" xfId="2010"/>
    <cellStyle name="适中 2" xfId="2011"/>
    <cellStyle name="输出 2 2" xfId="2012"/>
    <cellStyle name="输出 2 2 3" xfId="2013"/>
    <cellStyle name="输出 2 4" xfId="2014"/>
    <cellStyle name="数量" xfId="2015"/>
    <cellStyle name="数量 3" xfId="2016"/>
    <cellStyle name="数字" xfId="2017"/>
    <cellStyle name="数字 2" xfId="2018"/>
    <cellStyle name="数字 2 2" xfId="2019"/>
    <cellStyle name="数字 3" xfId="2020"/>
    <cellStyle name="数字 4" xfId="2021"/>
    <cellStyle name="㼿㼿㼿㼿㼿㼿㼿㼿㼿㼿㼿?" xfId="2022"/>
    <cellStyle name="㼿㼿㼿㼿㼿㼿㼿㼿㼿㼿㼿? 2" xfId="2023"/>
    <cellStyle name="未定义" xfId="2024"/>
    <cellStyle name="未定义 2" xfId="2025"/>
    <cellStyle name="未定义 3" xfId="2026"/>
    <cellStyle name="小数" xfId="2027"/>
    <cellStyle name="小数 2" xfId="2028"/>
    <cellStyle name="小数 2 2" xfId="2029"/>
    <cellStyle name="小数 2 3" xfId="2030"/>
    <cellStyle name="样式 1" xfId="2031"/>
    <cellStyle name="样式 1 2" xfId="2032"/>
    <cellStyle name="一般_SGV" xfId="2033"/>
    <cellStyle name="昗弨_Pacific Region P&amp;L" xfId="2034"/>
    <cellStyle name="寘嬫愗傝 [0.00]_Region Orders (2)" xfId="2035"/>
    <cellStyle name="寘嬫愗傝_Region Orders (2)" xfId="2036"/>
    <cellStyle name="注释 2" xfId="2037"/>
    <cellStyle name="注释 2 2" xfId="2038"/>
    <cellStyle name="注释 2 2 2" xfId="2039"/>
    <cellStyle name="注释 2 2 3" xfId="2040"/>
    <cellStyle name="注释 2 3" xfId="2041"/>
    <cellStyle name="注释 2 4" xfId="20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0</xdr:col>
      <xdr:colOff>1485900</xdr:colOff>
      <xdr:row>4</xdr:row>
      <xdr:rowOff>247650</xdr:rowOff>
    </xdr:to>
    <xdr:sp>
      <xdr:nvSpPr>
        <xdr:cNvPr id="1" name="Line 89"/>
        <xdr:cNvSpPr>
          <a:spLocks/>
        </xdr:cNvSpPr>
      </xdr:nvSpPr>
      <xdr:spPr>
        <a:xfrm>
          <a:off x="9525" y="609600"/>
          <a:ext cx="147637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xupen\Documents\tencent%20files\359276039\filerecv\2018&#24180;&#25191;&#34892;&#24773;&#20917;&#34920;&#65288;&#34920;1&#2104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1038;&#20445;&#24037;&#20316;&#22841;\2020&#24180;&#31038;&#20445;&#22522;&#37329;&#39044;&#31639;&#34920;&#65288;&#36130;&#25919;&#21475;&#6528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xupen\Documents\tencent%20files\359276039\filerecv\2020&#24180;&#31038;&#20445;&#22522;&#37329;&#39044;&#31639;&#34920;&#65288;&#20892;&#2151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七"/>
      <sheetName val="表八"/>
      <sheetName val="表九"/>
      <sheetName val="表十"/>
      <sheetName val="表十八"/>
      <sheetName val="表十九"/>
      <sheetName val="表二十"/>
      <sheetName val="表二十一"/>
      <sheetName val="Sheet1"/>
    </sheetNames>
    <sheetDataSet>
      <sheetData sheetId="1">
        <row r="4">
          <cell r="B4">
            <v>19339.573</v>
          </cell>
          <cell r="D4">
            <v>19485.74</v>
          </cell>
        </row>
        <row r="11">
          <cell r="B11">
            <v>19260</v>
          </cell>
          <cell r="D11">
            <v>22861.299999999996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七"/>
      <sheetName val="表八"/>
      <sheetName val="表九"/>
      <sheetName val="表十"/>
      <sheetName val="表十八"/>
      <sheetName val="表二十"/>
      <sheetName val="表十九"/>
      <sheetName val="表二十一"/>
      <sheetName val="Sheet1"/>
    </sheetNames>
    <sheetDataSet>
      <sheetData sheetId="6">
        <row r="4">
          <cell r="B4">
            <v>20992.54</v>
          </cell>
        </row>
        <row r="10">
          <cell r="B10">
            <v>19865.53</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P89"/>
  <sheetViews>
    <sheetView showZeros="0" workbookViewId="0" topLeftCell="A1">
      <pane xSplit="3" ySplit="4" topLeftCell="D17" activePane="bottomRight" state="frozen"/>
      <selection pane="bottomRight" activeCell="U21" sqref="U21"/>
    </sheetView>
  </sheetViews>
  <sheetFormatPr defaultColWidth="8.625" defaultRowHeight="14.25"/>
  <cols>
    <col min="1" max="1" width="24.375" style="221" customWidth="1"/>
    <col min="2" max="2" width="7.125" style="221" customWidth="1"/>
    <col min="3" max="3" width="8.00390625" style="221" customWidth="1"/>
    <col min="4" max="4" width="7.875" style="221" customWidth="1"/>
    <col min="5" max="5" width="6.875" style="328" customWidth="1"/>
    <col min="6" max="6" width="7.125" style="221" customWidth="1"/>
    <col min="7" max="7" width="7.875" style="221" customWidth="1"/>
    <col min="8" max="8" width="7.125" style="221" customWidth="1"/>
    <col min="9" max="9" width="7.50390625" style="221" customWidth="1"/>
    <col min="10" max="10" width="6.25390625" style="221" customWidth="1"/>
    <col min="11" max="18" width="9.00390625" style="221" hidden="1" customWidth="1"/>
    <col min="19" max="30" width="9.00390625" style="221" customWidth="1"/>
    <col min="31" max="253" width="8.625" style="221" customWidth="1"/>
    <col min="254" max="16384" width="8.625" style="122" customWidth="1"/>
  </cols>
  <sheetData>
    <row r="1" spans="1:9" ht="34.5" customHeight="1">
      <c r="A1" s="329" t="s">
        <v>0</v>
      </c>
      <c r="B1" s="329"/>
      <c r="C1" s="329"/>
      <c r="D1" s="329"/>
      <c r="E1" s="329"/>
      <c r="F1" s="329"/>
      <c r="G1" s="329"/>
      <c r="H1" s="329"/>
      <c r="I1" s="329"/>
    </row>
    <row r="2" spans="1:9" ht="19.5" customHeight="1">
      <c r="A2" s="264" t="s">
        <v>1</v>
      </c>
      <c r="B2" s="224"/>
      <c r="C2" s="224"/>
      <c r="D2" s="224"/>
      <c r="E2" s="224"/>
      <c r="F2" s="330"/>
      <c r="G2" s="330"/>
      <c r="H2" s="330" t="s">
        <v>2</v>
      </c>
      <c r="I2" s="224"/>
    </row>
    <row r="3" spans="1:9" ht="30" customHeight="1">
      <c r="A3" s="331" t="s">
        <v>3</v>
      </c>
      <c r="B3" s="332" t="s">
        <v>4</v>
      </c>
      <c r="C3" s="268" t="s">
        <v>5</v>
      </c>
      <c r="D3" s="333" t="s">
        <v>6</v>
      </c>
      <c r="E3" s="268" t="s">
        <v>7</v>
      </c>
      <c r="F3" s="332" t="s">
        <v>8</v>
      </c>
      <c r="G3" s="332"/>
      <c r="H3" s="332" t="s">
        <v>9</v>
      </c>
      <c r="I3" s="332"/>
    </row>
    <row r="4" spans="1:9" ht="23.25" customHeight="1">
      <c r="A4" s="331"/>
      <c r="B4" s="268"/>
      <c r="C4" s="268"/>
      <c r="D4" s="334"/>
      <c r="E4" s="268"/>
      <c r="F4" s="332" t="s">
        <v>10</v>
      </c>
      <c r="G4" s="332" t="s">
        <v>11</v>
      </c>
      <c r="H4" s="332" t="s">
        <v>10</v>
      </c>
      <c r="I4" s="332" t="s">
        <v>11</v>
      </c>
    </row>
    <row r="5" spans="1:9" s="122" customFormat="1" ht="36" customHeight="1">
      <c r="A5" s="335" t="s">
        <v>12</v>
      </c>
      <c r="B5" s="336">
        <v>15192</v>
      </c>
      <c r="C5" s="336">
        <f>C6+C9</f>
        <v>15800</v>
      </c>
      <c r="D5" s="336">
        <f>D6+D9</f>
        <v>14500</v>
      </c>
      <c r="E5" s="336">
        <f>E6+E9</f>
        <v>14233</v>
      </c>
      <c r="F5" s="337">
        <f>ROUND((E5/D5)*100,1)</f>
        <v>98.2</v>
      </c>
      <c r="G5" s="336">
        <f aca="true" t="shared" si="0" ref="G5:G20">E5-D5</f>
        <v>-267</v>
      </c>
      <c r="H5" s="337">
        <f aca="true" t="shared" si="1" ref="H5:H18">ROUND((E5/B5-1)*100,1)</f>
        <v>-6.3</v>
      </c>
      <c r="I5" s="336">
        <f aca="true" t="shared" si="2" ref="I5:I20">E5-B5</f>
        <v>-959</v>
      </c>
    </row>
    <row r="6" spans="1:16" s="224" customFormat="1" ht="24.75" customHeight="1">
      <c r="A6" s="338" t="s">
        <v>13</v>
      </c>
      <c r="B6" s="336">
        <v>12513</v>
      </c>
      <c r="C6" s="336">
        <v>12640</v>
      </c>
      <c r="D6" s="336">
        <f>D7</f>
        <v>12200</v>
      </c>
      <c r="E6" s="336">
        <v>12215</v>
      </c>
      <c r="F6" s="337">
        <f>ROUND((E6/D6)*100,1)</f>
        <v>100.1</v>
      </c>
      <c r="G6" s="336">
        <f t="shared" si="0"/>
        <v>15</v>
      </c>
      <c r="H6" s="337">
        <f t="shared" si="1"/>
        <v>-2.4</v>
      </c>
      <c r="I6" s="336">
        <f t="shared" si="2"/>
        <v>-298</v>
      </c>
      <c r="K6" s="312">
        <f>B6/B5*100</f>
        <v>82.3657187993681</v>
      </c>
      <c r="L6" s="312">
        <f>E6/E5*100</f>
        <v>85.82168200660438</v>
      </c>
      <c r="M6" s="312">
        <f>L6-K6</f>
        <v>3.4559632072362803</v>
      </c>
      <c r="N6" s="224">
        <f>C6-D6</f>
        <v>440</v>
      </c>
      <c r="O6" s="224">
        <v>1300</v>
      </c>
      <c r="P6" s="224">
        <f>O6-N6</f>
        <v>860</v>
      </c>
    </row>
    <row r="7" spans="1:9" s="224" customFormat="1" ht="24.75" customHeight="1">
      <c r="A7" s="338" t="s">
        <v>14</v>
      </c>
      <c r="B7" s="338">
        <v>3640</v>
      </c>
      <c r="C7" s="280">
        <v>12640</v>
      </c>
      <c r="D7" s="280">
        <v>12200</v>
      </c>
      <c r="E7" s="280">
        <v>12215</v>
      </c>
      <c r="F7" s="280">
        <f>ROUND((E7/D7)*100,1)</f>
        <v>100.1</v>
      </c>
      <c r="G7" s="280">
        <f t="shared" si="0"/>
        <v>15</v>
      </c>
      <c r="H7" s="280">
        <f>ROUND((E7/B6-1)*100,1)</f>
        <v>-2.4</v>
      </c>
      <c r="I7" s="280">
        <f>E7-B6</f>
        <v>-298</v>
      </c>
    </row>
    <row r="8" spans="1:9" s="224" customFormat="1" ht="39" customHeight="1">
      <c r="A8" s="339" t="s">
        <v>15</v>
      </c>
      <c r="B8" s="338">
        <v>8873</v>
      </c>
      <c r="C8" s="283"/>
      <c r="D8" s="283"/>
      <c r="E8" s="283"/>
      <c r="F8" s="283" t="e">
        <f>ROUND((E8/D8)*100,1)</f>
        <v>#DIV/0!</v>
      </c>
      <c r="G8" s="283">
        <f t="shared" si="0"/>
        <v>0</v>
      </c>
      <c r="H8" s="283">
        <f t="shared" si="1"/>
        <v>-100</v>
      </c>
      <c r="I8" s="283">
        <f t="shared" si="2"/>
        <v>-8873</v>
      </c>
    </row>
    <row r="9" spans="1:9" s="224" customFormat="1" ht="24" customHeight="1">
      <c r="A9" s="340" t="s">
        <v>16</v>
      </c>
      <c r="B9" s="338">
        <f>SUM(B10:B14)</f>
        <v>2679</v>
      </c>
      <c r="C9" s="338">
        <f>SUM(C10:C14)</f>
        <v>3160</v>
      </c>
      <c r="D9" s="338">
        <f>SUM(D10:D14)</f>
        <v>2300</v>
      </c>
      <c r="E9" s="338">
        <f>SUM(E10:E14)</f>
        <v>2018</v>
      </c>
      <c r="F9" s="337">
        <f>ROUND((E9/D9)*100,1)</f>
        <v>87.7</v>
      </c>
      <c r="G9" s="336">
        <f t="shared" si="0"/>
        <v>-282</v>
      </c>
      <c r="H9" s="337">
        <f t="shared" si="1"/>
        <v>-24.7</v>
      </c>
      <c r="I9" s="336">
        <f t="shared" si="2"/>
        <v>-661</v>
      </c>
    </row>
    <row r="10" spans="1:9" s="224" customFormat="1" ht="24" customHeight="1">
      <c r="A10" s="341" t="s">
        <v>17</v>
      </c>
      <c r="B10" s="338">
        <v>794</v>
      </c>
      <c r="C10" s="336">
        <v>750</v>
      </c>
      <c r="D10" s="336">
        <v>750</v>
      </c>
      <c r="E10" s="338">
        <v>691</v>
      </c>
      <c r="F10" s="337"/>
      <c r="G10" s="336">
        <f t="shared" si="0"/>
        <v>-59</v>
      </c>
      <c r="H10" s="337">
        <f t="shared" si="1"/>
        <v>-13</v>
      </c>
      <c r="I10" s="336">
        <f t="shared" si="2"/>
        <v>-103</v>
      </c>
    </row>
    <row r="11" spans="1:9" s="224" customFormat="1" ht="25.5" customHeight="1">
      <c r="A11" s="341" t="s">
        <v>18</v>
      </c>
      <c r="B11" s="338">
        <v>424</v>
      </c>
      <c r="C11" s="336">
        <v>660</v>
      </c>
      <c r="D11" s="336">
        <v>550</v>
      </c>
      <c r="E11" s="338">
        <v>400</v>
      </c>
      <c r="F11" s="337">
        <f aca="true" t="shared" si="3" ref="F11:F19">ROUND((E11/D11)*100,1)</f>
        <v>72.7</v>
      </c>
      <c r="G11" s="336">
        <f t="shared" si="0"/>
        <v>-150</v>
      </c>
      <c r="H11" s="337">
        <f t="shared" si="1"/>
        <v>-5.7</v>
      </c>
      <c r="I11" s="336">
        <f t="shared" si="2"/>
        <v>-24</v>
      </c>
    </row>
    <row r="12" spans="1:9" s="224" customFormat="1" ht="25.5" customHeight="1">
      <c r="A12" s="341" t="s">
        <v>19</v>
      </c>
      <c r="B12" s="338">
        <v>956</v>
      </c>
      <c r="C12" s="336">
        <v>800</v>
      </c>
      <c r="D12" s="336">
        <v>800</v>
      </c>
      <c r="E12" s="338">
        <v>737</v>
      </c>
      <c r="F12" s="337">
        <f t="shared" si="3"/>
        <v>92.1</v>
      </c>
      <c r="G12" s="336">
        <f t="shared" si="0"/>
        <v>-63</v>
      </c>
      <c r="H12" s="337">
        <f t="shared" si="1"/>
        <v>-22.9</v>
      </c>
      <c r="I12" s="336">
        <f t="shared" si="2"/>
        <v>-219</v>
      </c>
    </row>
    <row r="13" spans="1:9" s="224" customFormat="1" ht="33.75" customHeight="1">
      <c r="A13" s="342" t="s">
        <v>20</v>
      </c>
      <c r="B13" s="338">
        <v>466</v>
      </c>
      <c r="C13" s="336">
        <v>950</v>
      </c>
      <c r="D13" s="336">
        <v>200</v>
      </c>
      <c r="E13" s="338">
        <v>126</v>
      </c>
      <c r="F13" s="337">
        <f t="shared" si="3"/>
        <v>63</v>
      </c>
      <c r="G13" s="336">
        <f t="shared" si="0"/>
        <v>-74</v>
      </c>
      <c r="H13" s="337">
        <f t="shared" si="1"/>
        <v>-73</v>
      </c>
      <c r="I13" s="336">
        <f t="shared" si="2"/>
        <v>-340</v>
      </c>
    </row>
    <row r="14" spans="1:9" s="224" customFormat="1" ht="24.75" customHeight="1">
      <c r="A14" s="338" t="s">
        <v>21</v>
      </c>
      <c r="B14" s="336">
        <v>39</v>
      </c>
      <c r="C14" s="336"/>
      <c r="D14" s="336"/>
      <c r="E14" s="336">
        <v>64</v>
      </c>
      <c r="F14" s="337"/>
      <c r="G14" s="336">
        <f t="shared" si="0"/>
        <v>64</v>
      </c>
      <c r="H14" s="337">
        <f t="shared" si="1"/>
        <v>64.1</v>
      </c>
      <c r="I14" s="336">
        <f t="shared" si="2"/>
        <v>25</v>
      </c>
    </row>
    <row r="15" spans="1:9" s="224" customFormat="1" ht="33.75" customHeight="1">
      <c r="A15" s="341" t="s">
        <v>22</v>
      </c>
      <c r="B15" s="336">
        <v>87634</v>
      </c>
      <c r="C15" s="336">
        <v>80518</v>
      </c>
      <c r="D15" s="336">
        <v>93595</v>
      </c>
      <c r="E15" s="336">
        <v>99099</v>
      </c>
      <c r="F15" s="337">
        <f t="shared" si="3"/>
        <v>105.9</v>
      </c>
      <c r="G15" s="336">
        <f t="shared" si="0"/>
        <v>5504</v>
      </c>
      <c r="H15" s="337">
        <f t="shared" si="1"/>
        <v>13.1</v>
      </c>
      <c r="I15" s="336">
        <f t="shared" si="2"/>
        <v>11465</v>
      </c>
    </row>
    <row r="16" spans="1:9" s="224" customFormat="1" ht="36.75" customHeight="1">
      <c r="A16" s="341" t="s">
        <v>23</v>
      </c>
      <c r="B16" s="336">
        <v>146478</v>
      </c>
      <c r="C16" s="336">
        <v>100000</v>
      </c>
      <c r="D16" s="336">
        <v>120000</v>
      </c>
      <c r="E16" s="336">
        <v>128958</v>
      </c>
      <c r="F16" s="337">
        <f t="shared" si="3"/>
        <v>107.5</v>
      </c>
      <c r="G16" s="336">
        <f t="shared" si="0"/>
        <v>8958</v>
      </c>
      <c r="H16" s="337">
        <f t="shared" si="1"/>
        <v>-12</v>
      </c>
      <c r="I16" s="336">
        <f t="shared" si="2"/>
        <v>-17520</v>
      </c>
    </row>
    <row r="17" spans="1:9" s="224" customFormat="1" ht="27" customHeight="1">
      <c r="A17" s="338" t="s">
        <v>24</v>
      </c>
      <c r="B17" s="336">
        <v>1332</v>
      </c>
      <c r="C17" s="336">
        <v>13400</v>
      </c>
      <c r="D17" s="336">
        <v>11421</v>
      </c>
      <c r="E17" s="336">
        <v>1163</v>
      </c>
      <c r="F17" s="337">
        <f t="shared" si="3"/>
        <v>10.2</v>
      </c>
      <c r="G17" s="336">
        <f t="shared" si="0"/>
        <v>-10258</v>
      </c>
      <c r="H17" s="337">
        <f t="shared" si="1"/>
        <v>-12.7</v>
      </c>
      <c r="I17" s="336">
        <f t="shared" si="2"/>
        <v>-169</v>
      </c>
    </row>
    <row r="18" spans="1:9" s="224" customFormat="1" ht="27" customHeight="1">
      <c r="A18" s="338" t="s">
        <v>25</v>
      </c>
      <c r="B18" s="336">
        <v>2742</v>
      </c>
      <c r="C18" s="336">
        <v>2718</v>
      </c>
      <c r="D18" s="336">
        <v>3896</v>
      </c>
      <c r="E18" s="336">
        <v>3041</v>
      </c>
      <c r="F18" s="337">
        <f t="shared" si="3"/>
        <v>78.1</v>
      </c>
      <c r="G18" s="336">
        <f t="shared" si="0"/>
        <v>-855</v>
      </c>
      <c r="H18" s="337">
        <f t="shared" si="1"/>
        <v>10.9</v>
      </c>
      <c r="I18" s="336">
        <f t="shared" si="2"/>
        <v>299</v>
      </c>
    </row>
    <row r="19" spans="1:9" s="224" customFormat="1" ht="27" customHeight="1">
      <c r="A19" s="341" t="s">
        <v>26</v>
      </c>
      <c r="B19" s="336">
        <v>10806</v>
      </c>
      <c r="C19" s="336">
        <v>5000</v>
      </c>
      <c r="D19" s="336">
        <v>34380</v>
      </c>
      <c r="E19" s="336">
        <v>34380</v>
      </c>
      <c r="F19" s="337">
        <f t="shared" si="3"/>
        <v>100</v>
      </c>
      <c r="G19" s="336">
        <f t="shared" si="0"/>
        <v>0</v>
      </c>
      <c r="H19" s="337"/>
      <c r="I19" s="336">
        <f t="shared" si="2"/>
        <v>23574</v>
      </c>
    </row>
    <row r="20" spans="1:9" s="224" customFormat="1" ht="27" customHeight="1">
      <c r="A20" s="341" t="s">
        <v>27</v>
      </c>
      <c r="B20" s="336"/>
      <c r="C20" s="336"/>
      <c r="D20" s="336"/>
      <c r="E20" s="336"/>
      <c r="F20" s="337"/>
      <c r="G20" s="336">
        <f t="shared" si="0"/>
        <v>0</v>
      </c>
      <c r="H20" s="337"/>
      <c r="I20" s="336">
        <f t="shared" si="2"/>
        <v>0</v>
      </c>
    </row>
    <row r="21" spans="1:9" s="224" customFormat="1" ht="24.75" customHeight="1">
      <c r="A21" s="341" t="s">
        <v>28</v>
      </c>
      <c r="B21" s="336"/>
      <c r="C21" s="336"/>
      <c r="D21" s="336"/>
      <c r="E21" s="336"/>
      <c r="F21" s="337"/>
      <c r="G21" s="336"/>
      <c r="H21" s="337"/>
      <c r="I21" s="336"/>
    </row>
    <row r="22" spans="1:9" s="224" customFormat="1" ht="24.75" customHeight="1">
      <c r="A22" s="341" t="s">
        <v>29</v>
      </c>
      <c r="B22" s="336"/>
      <c r="C22" s="336"/>
      <c r="D22" s="336"/>
      <c r="E22" s="336">
        <v>486</v>
      </c>
      <c r="F22" s="337"/>
      <c r="G22" s="336"/>
      <c r="H22" s="337"/>
      <c r="I22" s="336"/>
    </row>
    <row r="23" spans="1:9" s="224" customFormat="1" ht="24" customHeight="1">
      <c r="A23" s="331" t="s">
        <v>30</v>
      </c>
      <c r="B23" s="336">
        <f>B19-B18+B17+B16+B15+B9+B6+B20+B21+B22</f>
        <v>258700</v>
      </c>
      <c r="C23" s="336">
        <f>C19-C18+C17+C16+C15+C9+C6+C20+C21</f>
        <v>212000</v>
      </c>
      <c r="D23" s="336">
        <f>D19-D18+D17+D16+D15+D9+D6+D20+D21</f>
        <v>270000</v>
      </c>
      <c r="E23" s="336">
        <f>E19-E18+E17+E16+E15+E9+E6+E20+E21+E22</f>
        <v>275278</v>
      </c>
      <c r="F23" s="337">
        <f>ROUND((E23/D23)*100,1)</f>
        <v>102</v>
      </c>
      <c r="G23" s="336">
        <f>E23-D23</f>
        <v>5278</v>
      </c>
      <c r="H23" s="337">
        <f>ROUND((E23/B23-1)*100,1)</f>
        <v>6.4</v>
      </c>
      <c r="I23" s="336">
        <f>E23-B23</f>
        <v>16578</v>
      </c>
    </row>
    <row r="24" spans="1:9" s="224" customFormat="1" ht="18" customHeight="1">
      <c r="A24" s="343"/>
      <c r="B24" s="344"/>
      <c r="C24" s="344"/>
      <c r="D24" s="344"/>
      <c r="E24" s="344"/>
      <c r="F24" s="344"/>
      <c r="G24" s="344"/>
      <c r="H24" s="344"/>
      <c r="I24" s="344"/>
    </row>
    <row r="25" spans="1:9" ht="27.75" customHeight="1">
      <c r="A25" s="345"/>
      <c r="B25" s="345"/>
      <c r="C25" s="345"/>
      <c r="D25" s="345"/>
      <c r="E25" s="345"/>
      <c r="F25" s="345"/>
      <c r="G25" s="345"/>
      <c r="H25" s="345"/>
      <c r="I25" s="345"/>
    </row>
    <row r="26" spans="1:9" ht="57" customHeight="1">
      <c r="A26" s="345"/>
      <c r="B26" s="345"/>
      <c r="C26" s="345"/>
      <c r="D26" s="345"/>
      <c r="E26" s="345"/>
      <c r="F26" s="345"/>
      <c r="G26" s="345"/>
      <c r="H26" s="345"/>
      <c r="I26" s="345"/>
    </row>
    <row r="89" ht="14.25">
      <c r="B89" s="258"/>
    </row>
  </sheetData>
  <sheetProtection/>
  <mergeCells count="17">
    <mergeCell ref="A1:I1"/>
    <mergeCell ref="F3:G3"/>
    <mergeCell ref="H3:I3"/>
    <mergeCell ref="A25:I25"/>
    <mergeCell ref="A26:I26"/>
    <mergeCell ref="A3:A4"/>
    <mergeCell ref="B3:B4"/>
    <mergeCell ref="C3:C4"/>
    <mergeCell ref="C7:C8"/>
    <mergeCell ref="D3:D4"/>
    <mergeCell ref="D7:D8"/>
    <mergeCell ref="E3:E4"/>
    <mergeCell ref="E7:E8"/>
    <mergeCell ref="F7:F8"/>
    <mergeCell ref="G7:G8"/>
    <mergeCell ref="H7:H8"/>
    <mergeCell ref="I7:I8"/>
  </mergeCells>
  <printOptions horizontalCentered="1"/>
  <pageMargins left="0.5902777777777778" right="0.5902777777777778" top="1.1416666666666666" bottom="0.6298611111111111" header="0.2791666666666667" footer="0.35"/>
  <pageSetup firstPageNumber="22" useFirstPageNumber="1"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E41"/>
  <sheetViews>
    <sheetView showZeros="0" zoomScaleSheetLayoutView="100" workbookViewId="0" topLeftCell="A1">
      <selection activeCell="D8" sqref="D8"/>
    </sheetView>
  </sheetViews>
  <sheetFormatPr defaultColWidth="9.00390625" defaultRowHeight="14.25"/>
  <cols>
    <col min="1" max="1" width="22.875" style="3" customWidth="1"/>
    <col min="2" max="2" width="11.25390625" style="4" customWidth="1"/>
    <col min="3" max="3" width="10.875" style="4" customWidth="1"/>
    <col min="4" max="4" width="11.50390625" style="4" customWidth="1"/>
    <col min="5" max="5" width="69.50390625" style="4" customWidth="1"/>
    <col min="6" max="32" width="9.00390625" style="4" customWidth="1"/>
    <col min="33" max="224" width="8.75390625" style="4" customWidth="1"/>
    <col min="225" max="255" width="9.00390625" style="4" customWidth="1"/>
    <col min="256" max="256" width="9.00390625" style="186" customWidth="1"/>
  </cols>
  <sheetData>
    <row r="1" spans="1:5" ht="25.5" customHeight="1">
      <c r="A1" s="187" t="s">
        <v>207</v>
      </c>
      <c r="B1" s="187"/>
      <c r="C1" s="187"/>
      <c r="D1" s="187"/>
      <c r="E1" s="187"/>
    </row>
    <row r="2" spans="1:5" s="1" customFormat="1" ht="16.5" customHeight="1">
      <c r="A2" s="6" t="s">
        <v>208</v>
      </c>
      <c r="B2" s="6"/>
      <c r="C2" s="6"/>
      <c r="D2" s="7"/>
      <c r="E2" s="9" t="s">
        <v>2</v>
      </c>
    </row>
    <row r="3" spans="1:5" s="1" customFormat="1" ht="22.5" customHeight="1">
      <c r="A3" s="10" t="s">
        <v>79</v>
      </c>
      <c r="B3" s="10" t="s">
        <v>141</v>
      </c>
      <c r="C3" s="10" t="s">
        <v>142</v>
      </c>
      <c r="D3" s="10" t="s">
        <v>209</v>
      </c>
      <c r="E3" s="10" t="s">
        <v>160</v>
      </c>
    </row>
    <row r="4" spans="1:5" s="1" customFormat="1" ht="31.5" customHeight="1">
      <c r="A4" s="11" t="s">
        <v>210</v>
      </c>
      <c r="B4" s="11">
        <v>9192.15</v>
      </c>
      <c r="C4" s="11"/>
      <c r="D4" s="11">
        <v>8602.51</v>
      </c>
      <c r="E4" s="10"/>
    </row>
    <row r="5" spans="1:5" s="1" customFormat="1" ht="32.25" customHeight="1">
      <c r="A5" s="11" t="s">
        <v>161</v>
      </c>
      <c r="B5" s="11">
        <v>5030.99</v>
      </c>
      <c r="C5" s="11"/>
      <c r="D5" s="11">
        <v>4569.5</v>
      </c>
      <c r="E5" s="14" t="s">
        <v>211</v>
      </c>
    </row>
    <row r="6" spans="1:5" s="1" customFormat="1" ht="36" customHeight="1">
      <c r="A6" s="11" t="s">
        <v>163</v>
      </c>
      <c r="B6" s="11">
        <v>747.67</v>
      </c>
      <c r="C6" s="11"/>
      <c r="D6" s="11">
        <v>603.44</v>
      </c>
      <c r="E6" s="14" t="s">
        <v>212</v>
      </c>
    </row>
    <row r="7" spans="1:5" s="1" customFormat="1" ht="51" customHeight="1">
      <c r="A7" s="11" t="s">
        <v>165</v>
      </c>
      <c r="B7" s="11">
        <v>52.78</v>
      </c>
      <c r="C7" s="11"/>
      <c r="D7" s="11">
        <v>48.22</v>
      </c>
      <c r="E7" s="14" t="s">
        <v>213</v>
      </c>
    </row>
    <row r="8" spans="1:5" s="1" customFormat="1" ht="60.75" customHeight="1">
      <c r="A8" s="11" t="s">
        <v>167</v>
      </c>
      <c r="B8" s="11">
        <v>1333.73</v>
      </c>
      <c r="C8" s="11"/>
      <c r="D8" s="11">
        <v>1337.07</v>
      </c>
      <c r="E8" s="188" t="s">
        <v>214</v>
      </c>
    </row>
    <row r="9" spans="1:5" s="2" customFormat="1" ht="22.5" customHeight="1">
      <c r="A9" s="11" t="s">
        <v>169</v>
      </c>
      <c r="B9" s="11">
        <v>1412.48</v>
      </c>
      <c r="C9" s="11"/>
      <c r="D9" s="11">
        <v>1478</v>
      </c>
      <c r="E9" s="11"/>
    </row>
    <row r="10" spans="1:5" s="1" customFormat="1" ht="22.5" customHeight="1">
      <c r="A10" s="11" t="s">
        <v>215</v>
      </c>
      <c r="B10" s="11">
        <v>614.5</v>
      </c>
      <c r="C10" s="11"/>
      <c r="D10" s="11">
        <v>548.1</v>
      </c>
      <c r="E10" s="11"/>
    </row>
    <row r="11" spans="1:5" s="1" customFormat="1" ht="22.5" customHeight="1">
      <c r="A11" s="11" t="s">
        <v>216</v>
      </c>
      <c r="B11" s="11"/>
      <c r="C11" s="11"/>
      <c r="D11" s="11">
        <v>3.46</v>
      </c>
      <c r="E11" s="11" t="s">
        <v>217</v>
      </c>
    </row>
    <row r="12" spans="1:5" s="1" customFormat="1" ht="22.5" customHeight="1">
      <c r="A12" s="11" t="s">
        <v>218</v>
      </c>
      <c r="C12" s="11"/>
      <c r="D12" s="11">
        <v>14.72</v>
      </c>
      <c r="E12" s="11" t="s">
        <v>219</v>
      </c>
    </row>
    <row r="13" spans="1:5" s="1" customFormat="1" ht="27.75" customHeight="1">
      <c r="A13" s="11" t="s">
        <v>220</v>
      </c>
      <c r="B13" s="11">
        <v>7029.58</v>
      </c>
      <c r="C13" s="11"/>
      <c r="D13" s="11">
        <f>D14+D15+D16+D17+D18</f>
        <v>6926.26</v>
      </c>
      <c r="E13" s="14"/>
    </row>
    <row r="14" spans="1:5" s="1" customFormat="1" ht="27.75" customHeight="1">
      <c r="A14" s="11" t="s">
        <v>221</v>
      </c>
      <c r="B14" s="11">
        <v>6160.12</v>
      </c>
      <c r="C14" s="11"/>
      <c r="D14" s="11">
        <v>6075.99</v>
      </c>
      <c r="E14" s="11"/>
    </row>
    <row r="15" spans="1:5" s="1" customFormat="1" ht="26.25" customHeight="1">
      <c r="A15" s="11" t="s">
        <v>222</v>
      </c>
      <c r="B15" s="11">
        <v>374.56</v>
      </c>
      <c r="C15" s="11"/>
      <c r="D15" s="11">
        <v>349.93</v>
      </c>
      <c r="E15" s="11"/>
    </row>
    <row r="16" spans="1:5" s="1" customFormat="1" ht="21.75" customHeight="1">
      <c r="A16" s="11" t="s">
        <v>223</v>
      </c>
      <c r="B16" s="11">
        <v>125.28</v>
      </c>
      <c r="C16" s="11"/>
      <c r="D16" s="11">
        <v>117.92</v>
      </c>
      <c r="E16" s="11"/>
    </row>
    <row r="17" spans="1:5" s="1" customFormat="1" ht="27.75" customHeight="1">
      <c r="A17" s="11" t="s">
        <v>224</v>
      </c>
      <c r="B17" s="11">
        <v>369.62</v>
      </c>
      <c r="C17" s="11"/>
      <c r="D17" s="11">
        <v>368.38</v>
      </c>
      <c r="E17" s="11"/>
    </row>
    <row r="18" spans="1:5" s="1" customFormat="1" ht="27.75" customHeight="1">
      <c r="A18" s="11" t="s">
        <v>225</v>
      </c>
      <c r="B18" s="11"/>
      <c r="C18" s="11"/>
      <c r="D18" s="189">
        <v>14.04</v>
      </c>
      <c r="E18" s="189" t="s">
        <v>226</v>
      </c>
    </row>
    <row r="19" spans="1:5" s="1" customFormat="1" ht="27.75" customHeight="1">
      <c r="A19" s="11" t="s">
        <v>227</v>
      </c>
      <c r="B19" s="11"/>
      <c r="C19" s="11"/>
      <c r="D19" s="189"/>
      <c r="E19" s="189"/>
    </row>
    <row r="20" spans="1:5" s="1" customFormat="1" ht="24.75" customHeight="1">
      <c r="A20" s="11" t="s">
        <v>184</v>
      </c>
      <c r="B20" s="11">
        <v>2162.57</v>
      </c>
      <c r="C20" s="11"/>
      <c r="D20" s="11">
        <f>D4-D13</f>
        <v>1676.25</v>
      </c>
      <c r="E20" s="11"/>
    </row>
    <row r="21" spans="1:5" s="2" customFormat="1" ht="21.75" customHeight="1">
      <c r="A21" s="11" t="s">
        <v>185</v>
      </c>
      <c r="B21" s="11"/>
      <c r="C21" s="11"/>
      <c r="D21" s="11">
        <v>21124.93</v>
      </c>
      <c r="E21" s="11"/>
    </row>
    <row r="22" spans="1:5" s="1" customFormat="1" ht="21" customHeight="1">
      <c r="A22" s="16" t="s">
        <v>125</v>
      </c>
      <c r="B22" s="15">
        <v>23287.5</v>
      </c>
      <c r="C22" s="14"/>
      <c r="D22" s="11">
        <f>D20+D21</f>
        <v>22801.18</v>
      </c>
      <c r="E22" s="14"/>
    </row>
    <row r="23" spans="1:5" ht="14.25">
      <c r="A23" s="17"/>
      <c r="B23" s="18"/>
      <c r="C23" s="18"/>
      <c r="D23" s="18"/>
      <c r="E23" s="18"/>
    </row>
    <row r="24" spans="1:5" ht="14.25">
      <c r="A24" s="17"/>
      <c r="B24" s="18"/>
      <c r="C24" s="18"/>
      <c r="D24" s="18"/>
      <c r="E24" s="18"/>
    </row>
    <row r="28" ht="14.25">
      <c r="B28" s="19"/>
    </row>
    <row r="30" ht="6.75" customHeight="1"/>
    <row r="31" ht="14.25" hidden="1">
      <c r="D31" s="4">
        <f>D22+'表九'!D18+'表八'!D18</f>
        <v>31107.643</v>
      </c>
    </row>
    <row r="32" ht="14.25" hidden="1">
      <c r="D32" s="4">
        <f>D31-'表七'!I9</f>
        <v>3375.5599999999904</v>
      </c>
    </row>
    <row r="33" ht="14.25" hidden="1"/>
    <row r="34" ht="14.25" hidden="1"/>
    <row r="37" ht="14.25">
      <c r="B37" s="20"/>
    </row>
    <row r="41" ht="14.25">
      <c r="B41" s="21"/>
    </row>
  </sheetData>
  <sheetProtection/>
  <mergeCells count="2">
    <mergeCell ref="A1:E1"/>
    <mergeCell ref="A2:C2"/>
  </mergeCells>
  <printOptions horizontalCentered="1"/>
  <pageMargins left="0.7868055555555555" right="0.7868055555555555" top="1.1416666666666666" bottom="0.6298611111111111" header="0.2791666666666667" footer="0.35"/>
  <pageSetup firstPageNumber="22" useFirstPageNumber="1" horizontalDpi="600" verticalDpi="600" orientation="landscape" paperSize="9" scale="95"/>
</worksheet>
</file>

<file path=xl/worksheets/sheet11.xml><?xml version="1.0" encoding="utf-8"?>
<worksheet xmlns="http://schemas.openxmlformats.org/spreadsheetml/2006/main" xmlns:r="http://schemas.openxmlformats.org/officeDocument/2006/relationships">
  <sheetPr>
    <tabColor rgb="FF00B0F0"/>
  </sheetPr>
  <dimension ref="A1:IO86"/>
  <sheetViews>
    <sheetView showZeros="0" tabSelected="1" zoomScale="145" zoomScaleNormal="145" zoomScaleSheetLayoutView="100" workbookViewId="0" topLeftCell="A13">
      <selection activeCell="E31" sqref="E31"/>
    </sheetView>
  </sheetViews>
  <sheetFormatPr defaultColWidth="9.00390625" defaultRowHeight="14.25"/>
  <cols>
    <col min="1" max="1" width="41.125" style="139" customWidth="1"/>
    <col min="2" max="2" width="7.50390625" style="139" customWidth="1"/>
    <col min="3" max="3" width="8.00390625" style="139" customWidth="1"/>
    <col min="4" max="4" width="9.75390625" style="139" hidden="1" customWidth="1"/>
    <col min="5" max="5" width="7.50390625" style="142" customWidth="1"/>
    <col min="6" max="6" width="7.00390625" style="139" customWidth="1"/>
    <col min="7" max="7" width="28.375" style="139" customWidth="1"/>
    <col min="8" max="8" width="7.375" style="139" customWidth="1"/>
    <col min="9" max="9" width="8.00390625" style="139" customWidth="1"/>
    <col min="10" max="10" width="8.50390625" style="139" bestFit="1" customWidth="1"/>
    <col min="11" max="11" width="7.00390625" style="139" customWidth="1"/>
    <col min="12" max="25" width="9.00390625" style="139" customWidth="1"/>
    <col min="26" max="217" width="8.75390625" style="139" customWidth="1"/>
    <col min="218" max="248" width="9.00390625" style="139" customWidth="1"/>
    <col min="249" max="249" width="9.00390625" style="143" customWidth="1"/>
  </cols>
  <sheetData>
    <row r="1" spans="1:249" s="139" customFormat="1" ht="23.25" customHeight="1">
      <c r="A1" s="144" t="s">
        <v>228</v>
      </c>
      <c r="B1" s="144"/>
      <c r="C1" s="144"/>
      <c r="D1" s="144"/>
      <c r="E1" s="144"/>
      <c r="F1" s="144"/>
      <c r="G1" s="144"/>
      <c r="H1" s="144"/>
      <c r="I1" s="144"/>
      <c r="J1" s="144"/>
      <c r="K1" s="144"/>
      <c r="IO1" s="143"/>
    </row>
    <row r="2" spans="1:249" s="139" customFormat="1" ht="19.5" customHeight="1">
      <c r="A2" s="140" t="s">
        <v>229</v>
      </c>
      <c r="B2" s="140"/>
      <c r="C2" s="140"/>
      <c r="D2" s="140"/>
      <c r="E2" s="145"/>
      <c r="F2" s="140"/>
      <c r="G2" s="140"/>
      <c r="H2" s="140"/>
      <c r="I2" s="140"/>
      <c r="J2" s="166" t="s">
        <v>2</v>
      </c>
      <c r="K2" s="166"/>
      <c r="IO2" s="143"/>
    </row>
    <row r="3" spans="1:249" s="139" customFormat="1" ht="19.5" customHeight="1">
      <c r="A3" s="147" t="s">
        <v>230</v>
      </c>
      <c r="B3" s="147"/>
      <c r="C3" s="147"/>
      <c r="D3" s="147"/>
      <c r="E3" s="147"/>
      <c r="F3" s="147"/>
      <c r="G3" s="147" t="s">
        <v>231</v>
      </c>
      <c r="H3" s="147"/>
      <c r="I3" s="147"/>
      <c r="J3" s="147"/>
      <c r="K3" s="147"/>
      <c r="IO3" s="143"/>
    </row>
    <row r="4" spans="1:249" s="139" customFormat="1" ht="29.25" customHeight="1">
      <c r="A4" s="146" t="s">
        <v>232</v>
      </c>
      <c r="B4" s="153" t="s">
        <v>233</v>
      </c>
      <c r="C4" s="153" t="s">
        <v>234</v>
      </c>
      <c r="D4" s="153" t="s">
        <v>235</v>
      </c>
      <c r="E4" s="153" t="s">
        <v>236</v>
      </c>
      <c r="F4" s="153"/>
      <c r="G4" s="146" t="s">
        <v>3</v>
      </c>
      <c r="H4" s="153" t="s">
        <v>233</v>
      </c>
      <c r="I4" s="153" t="s">
        <v>234</v>
      </c>
      <c r="J4" s="153" t="s">
        <v>237</v>
      </c>
      <c r="K4" s="153"/>
      <c r="IO4" s="143"/>
    </row>
    <row r="5" spans="1:249" s="139" customFormat="1" ht="16.5" customHeight="1">
      <c r="A5" s="146"/>
      <c r="B5" s="153"/>
      <c r="C5" s="153"/>
      <c r="D5" s="153"/>
      <c r="E5" s="152" t="s">
        <v>238</v>
      </c>
      <c r="F5" s="153" t="s">
        <v>11</v>
      </c>
      <c r="G5" s="146"/>
      <c r="H5" s="153"/>
      <c r="I5" s="153"/>
      <c r="J5" s="153" t="s">
        <v>238</v>
      </c>
      <c r="K5" s="153" t="s">
        <v>11</v>
      </c>
      <c r="IO5" s="143"/>
    </row>
    <row r="6" spans="1:249" s="139" customFormat="1" ht="18" customHeight="1">
      <c r="A6" s="172" t="s">
        <v>12</v>
      </c>
      <c r="B6" s="151">
        <f>B7+B8</f>
        <v>15800</v>
      </c>
      <c r="C6" s="151">
        <f>C7+C8</f>
        <v>14950</v>
      </c>
      <c r="D6" s="151"/>
      <c r="E6" s="173">
        <f aca="true" t="shared" si="0" ref="E6:E12">(C6-B6)/B6*100</f>
        <v>-5.379746835443038</v>
      </c>
      <c r="F6" s="174">
        <f aca="true" t="shared" si="1" ref="F6:F18">C6-B6</f>
        <v>-850</v>
      </c>
      <c r="G6" s="157" t="s">
        <v>36</v>
      </c>
      <c r="H6" s="155">
        <f>23736-120+3000</f>
        <v>26616</v>
      </c>
      <c r="I6" s="155">
        <v>24608</v>
      </c>
      <c r="J6" s="169">
        <f aca="true" t="shared" si="2" ref="J6:J18">(I6-H6)/H6*100</f>
        <v>-7.5443342350465885</v>
      </c>
      <c r="K6" s="163">
        <f aca="true" t="shared" si="3" ref="K6:K22">I6-H6</f>
        <v>-2008</v>
      </c>
      <c r="IO6" s="143"/>
    </row>
    <row r="7" spans="1:11" s="140" customFormat="1" ht="18" customHeight="1">
      <c r="A7" s="155" t="s">
        <v>13</v>
      </c>
      <c r="B7" s="156">
        <v>12000</v>
      </c>
      <c r="C7" s="156">
        <v>12750</v>
      </c>
      <c r="D7" s="175" t="e">
        <f>(C7-#REF!)/#REF!*100</f>
        <v>#REF!</v>
      </c>
      <c r="E7" s="173">
        <f t="shared" si="0"/>
        <v>6.25</v>
      </c>
      <c r="F7" s="156">
        <f t="shared" si="1"/>
        <v>750</v>
      </c>
      <c r="G7" s="176" t="s">
        <v>239</v>
      </c>
      <c r="H7" s="155">
        <f>6300+500</f>
        <v>6800</v>
      </c>
      <c r="I7" s="155">
        <v>9430</v>
      </c>
      <c r="J7" s="169">
        <f t="shared" si="2"/>
        <v>38.6764705882353</v>
      </c>
      <c r="K7" s="163">
        <f t="shared" si="3"/>
        <v>2630</v>
      </c>
    </row>
    <row r="8" spans="1:11" s="140" customFormat="1" ht="18" customHeight="1">
      <c r="A8" s="150" t="s">
        <v>16</v>
      </c>
      <c r="B8" s="158">
        <f>SUM(B9:B13)</f>
        <v>3800</v>
      </c>
      <c r="C8" s="158">
        <f>SUM(C9:C13)</f>
        <v>2200</v>
      </c>
      <c r="D8" s="175" t="e">
        <f>(C8-#REF!)/#REF!*100</f>
        <v>#REF!</v>
      </c>
      <c r="E8" s="173">
        <f t="shared" si="0"/>
        <v>-42.10526315789473</v>
      </c>
      <c r="F8" s="177">
        <f t="shared" si="1"/>
        <v>-1600</v>
      </c>
      <c r="G8" s="176" t="s">
        <v>38</v>
      </c>
      <c r="H8" s="155">
        <f>52000+1500+300</f>
        <v>53800</v>
      </c>
      <c r="I8" s="155">
        <v>61680</v>
      </c>
      <c r="J8" s="169">
        <f t="shared" si="2"/>
        <v>14.646840148698884</v>
      </c>
      <c r="K8" s="163">
        <f t="shared" si="3"/>
        <v>7880</v>
      </c>
    </row>
    <row r="9" spans="1:11" s="140" customFormat="1" ht="18" customHeight="1">
      <c r="A9" s="155" t="s">
        <v>240</v>
      </c>
      <c r="B9" s="158">
        <v>750</v>
      </c>
      <c r="C9" s="158">
        <v>520</v>
      </c>
      <c r="D9" s="175" t="e">
        <f>(#REF!-#REF!)/#REF!*100</f>
        <v>#REF!</v>
      </c>
      <c r="E9" s="173">
        <f t="shared" si="0"/>
        <v>-30.666666666666664</v>
      </c>
      <c r="F9" s="156">
        <f t="shared" si="1"/>
        <v>-230</v>
      </c>
      <c r="G9" s="176" t="s">
        <v>39</v>
      </c>
      <c r="H9" s="155">
        <v>260</v>
      </c>
      <c r="I9" s="155">
        <v>840</v>
      </c>
      <c r="J9" s="169">
        <f t="shared" si="2"/>
        <v>223.0769230769231</v>
      </c>
      <c r="K9" s="163">
        <f t="shared" si="3"/>
        <v>580</v>
      </c>
    </row>
    <row r="10" spans="1:11" s="140" customFormat="1" ht="18" customHeight="1">
      <c r="A10" s="155" t="s">
        <v>241</v>
      </c>
      <c r="B10" s="158">
        <v>400</v>
      </c>
      <c r="C10" s="158">
        <v>780</v>
      </c>
      <c r="D10" s="175" t="e">
        <f>(#REF!-#REF!)/#REF!*100</f>
        <v>#REF!</v>
      </c>
      <c r="E10" s="173">
        <f t="shared" si="0"/>
        <v>95</v>
      </c>
      <c r="F10" s="156">
        <f t="shared" si="1"/>
        <v>380</v>
      </c>
      <c r="G10" s="176" t="s">
        <v>40</v>
      </c>
      <c r="H10" s="155">
        <f>5354+1100</f>
        <v>6454</v>
      </c>
      <c r="I10" s="155">
        <v>4675</v>
      </c>
      <c r="J10" s="169">
        <f t="shared" si="2"/>
        <v>-27.564301208552834</v>
      </c>
      <c r="K10" s="163">
        <f t="shared" si="3"/>
        <v>-1779</v>
      </c>
    </row>
    <row r="11" spans="1:11" s="140" customFormat="1" ht="18" customHeight="1">
      <c r="A11" s="155" t="s">
        <v>242</v>
      </c>
      <c r="B11" s="158">
        <v>1000</v>
      </c>
      <c r="C11" s="158">
        <v>100</v>
      </c>
      <c r="D11" s="175" t="e">
        <f>(#REF!-#REF!)/#REF!*100</f>
        <v>#REF!</v>
      </c>
      <c r="E11" s="173">
        <f t="shared" si="0"/>
        <v>-90</v>
      </c>
      <c r="F11" s="156">
        <f t="shared" si="1"/>
        <v>-900</v>
      </c>
      <c r="G11" s="176" t="s">
        <v>41</v>
      </c>
      <c r="H11" s="155">
        <f>18600+1000</f>
        <v>19600</v>
      </c>
      <c r="I11" s="155">
        <v>34572</v>
      </c>
      <c r="J11" s="169">
        <f t="shared" si="2"/>
        <v>76.38775510204083</v>
      </c>
      <c r="K11" s="163">
        <f t="shared" si="3"/>
        <v>14972</v>
      </c>
    </row>
    <row r="12" spans="1:11" s="140" customFormat="1" ht="18" customHeight="1">
      <c r="A12" s="155" t="s">
        <v>243</v>
      </c>
      <c r="B12" s="158">
        <v>1650</v>
      </c>
      <c r="C12" s="158">
        <v>600</v>
      </c>
      <c r="D12" s="175" t="e">
        <f>(#REF!-#REF!)/#REF!*100</f>
        <v>#REF!</v>
      </c>
      <c r="E12" s="173">
        <f t="shared" si="0"/>
        <v>-63.63636363636363</v>
      </c>
      <c r="F12" s="156">
        <f t="shared" si="1"/>
        <v>-1050</v>
      </c>
      <c r="G12" s="176" t="s">
        <v>42</v>
      </c>
      <c r="H12" s="155">
        <f>22100+1000</f>
        <v>23100</v>
      </c>
      <c r="I12" s="155">
        <v>34550</v>
      </c>
      <c r="J12" s="169">
        <f t="shared" si="2"/>
        <v>49.56709956709957</v>
      </c>
      <c r="K12" s="163">
        <f t="shared" si="3"/>
        <v>11450</v>
      </c>
    </row>
    <row r="13" spans="1:11" s="140" customFormat="1" ht="18" customHeight="1">
      <c r="A13" s="155" t="s">
        <v>244</v>
      </c>
      <c r="B13" s="156"/>
      <c r="C13" s="156">
        <v>200</v>
      </c>
      <c r="D13" s="175" t="e">
        <f>(#REF!-#REF!)/#REF!*100</f>
        <v>#REF!</v>
      </c>
      <c r="E13" s="173"/>
      <c r="F13" s="156">
        <f t="shared" si="1"/>
        <v>200</v>
      </c>
      <c r="G13" s="176" t="s">
        <v>43</v>
      </c>
      <c r="H13" s="155">
        <v>6400</v>
      </c>
      <c r="I13" s="155">
        <v>11122</v>
      </c>
      <c r="J13" s="169">
        <f t="shared" si="2"/>
        <v>73.78125</v>
      </c>
      <c r="K13" s="163">
        <f t="shared" si="3"/>
        <v>4722</v>
      </c>
    </row>
    <row r="14" spans="1:11" s="140" customFormat="1" ht="18" customHeight="1">
      <c r="A14" s="155" t="s">
        <v>22</v>
      </c>
      <c r="B14" s="158">
        <f>78754+1764</f>
        <v>80518</v>
      </c>
      <c r="C14" s="158">
        <v>83496</v>
      </c>
      <c r="D14" s="175"/>
      <c r="E14" s="173">
        <f>(C14-B14)/B14*100</f>
        <v>3.698551876599021</v>
      </c>
      <c r="F14" s="156">
        <f t="shared" si="1"/>
        <v>2978</v>
      </c>
      <c r="G14" s="176" t="s">
        <v>44</v>
      </c>
      <c r="H14" s="155">
        <v>3630</v>
      </c>
      <c r="I14" s="155">
        <v>7954</v>
      </c>
      <c r="J14" s="169">
        <f t="shared" si="2"/>
        <v>119.11845730027548</v>
      </c>
      <c r="K14" s="163">
        <f t="shared" si="3"/>
        <v>4324</v>
      </c>
    </row>
    <row r="15" spans="1:11" s="140" customFormat="1" ht="18" customHeight="1">
      <c r="A15" s="155" t="s">
        <v>23</v>
      </c>
      <c r="B15" s="158">
        <v>100000</v>
      </c>
      <c r="C15" s="158">
        <v>120000</v>
      </c>
      <c r="D15" s="175"/>
      <c r="E15" s="173">
        <f>(C15-B15)/B15*100</f>
        <v>20</v>
      </c>
      <c r="F15" s="156">
        <f t="shared" si="1"/>
        <v>20000</v>
      </c>
      <c r="G15" s="176" t="s">
        <v>45</v>
      </c>
      <c r="H15" s="155">
        <f>21000+16200-150</f>
        <v>37050</v>
      </c>
      <c r="I15" s="155">
        <v>50642</v>
      </c>
      <c r="J15" s="169">
        <f t="shared" si="2"/>
        <v>36.685560053981106</v>
      </c>
      <c r="K15" s="163">
        <f t="shared" si="3"/>
        <v>13592</v>
      </c>
    </row>
    <row r="16" spans="1:11" s="140" customFormat="1" ht="18" customHeight="1">
      <c r="A16" s="155" t="s">
        <v>245</v>
      </c>
      <c r="B16" s="158">
        <v>13400</v>
      </c>
      <c r="C16" s="158">
        <v>25443</v>
      </c>
      <c r="D16" s="175"/>
      <c r="E16" s="173">
        <f>(C16-B16)/B16*100</f>
        <v>89.8731343283582</v>
      </c>
      <c r="F16" s="156">
        <f t="shared" si="1"/>
        <v>12043</v>
      </c>
      <c r="G16" s="176" t="s">
        <v>46</v>
      </c>
      <c r="H16" s="155">
        <f>2800+3100</f>
        <v>5900</v>
      </c>
      <c r="I16" s="155">
        <v>8245</v>
      </c>
      <c r="J16" s="169">
        <f t="shared" si="2"/>
        <v>39.74576271186441</v>
      </c>
      <c r="K16" s="163">
        <f t="shared" si="3"/>
        <v>2345</v>
      </c>
    </row>
    <row r="17" spans="1:11" s="140" customFormat="1" ht="18" customHeight="1">
      <c r="A17" s="155" t="s">
        <v>246</v>
      </c>
      <c r="B17" s="158">
        <v>5000</v>
      </c>
      <c r="C17" s="158">
        <v>30000</v>
      </c>
      <c r="D17" s="175"/>
      <c r="E17" s="173">
        <f>(C17-B17)/B17*100</f>
        <v>500</v>
      </c>
      <c r="F17" s="156">
        <f t="shared" si="1"/>
        <v>25000</v>
      </c>
      <c r="G17" s="178" t="s">
        <v>247</v>
      </c>
      <c r="H17" s="155">
        <v>660</v>
      </c>
      <c r="I17" s="155">
        <v>1700</v>
      </c>
      <c r="J17" s="169">
        <f t="shared" si="2"/>
        <v>157.57575757575756</v>
      </c>
      <c r="K17" s="163">
        <f t="shared" si="3"/>
        <v>1040</v>
      </c>
    </row>
    <row r="18" spans="1:11" s="140" customFormat="1" ht="18" customHeight="1">
      <c r="A18" s="155" t="s">
        <v>68</v>
      </c>
      <c r="B18" s="158">
        <v>2718</v>
      </c>
      <c r="C18" s="158">
        <v>3889</v>
      </c>
      <c r="D18" s="175"/>
      <c r="E18" s="173">
        <f>(C18-B18)/B18*100</f>
        <v>43.083149374540106</v>
      </c>
      <c r="F18" s="156">
        <f t="shared" si="1"/>
        <v>1171</v>
      </c>
      <c r="G18" s="178" t="s">
        <v>48</v>
      </c>
      <c r="H18" s="155">
        <f>600</f>
        <v>600</v>
      </c>
      <c r="I18" s="155">
        <v>235</v>
      </c>
      <c r="J18" s="169">
        <f t="shared" si="2"/>
        <v>-60.83333333333333</v>
      </c>
      <c r="K18" s="163">
        <f t="shared" si="3"/>
        <v>-365</v>
      </c>
    </row>
    <row r="19" spans="1:11" s="140" customFormat="1" ht="18" customHeight="1">
      <c r="A19" s="155"/>
      <c r="B19" s="155"/>
      <c r="C19" s="155"/>
      <c r="D19" s="155"/>
      <c r="E19" s="155"/>
      <c r="F19" s="155"/>
      <c r="G19" s="179" t="s">
        <v>49</v>
      </c>
      <c r="H19" s="155"/>
      <c r="I19" s="155"/>
      <c r="J19" s="169"/>
      <c r="K19" s="163">
        <f t="shared" si="3"/>
        <v>0</v>
      </c>
    </row>
    <row r="20" spans="1:11" s="140" customFormat="1" ht="18" customHeight="1">
      <c r="A20" s="155"/>
      <c r="B20" s="155"/>
      <c r="C20" s="155"/>
      <c r="D20" s="155"/>
      <c r="E20" s="155"/>
      <c r="F20" s="155"/>
      <c r="G20" s="176" t="s">
        <v>248</v>
      </c>
      <c r="H20" s="155">
        <f>1150+200</f>
        <v>1350</v>
      </c>
      <c r="I20" s="155">
        <v>1225</v>
      </c>
      <c r="J20" s="169">
        <f>(I20-H20)/H20*100</f>
        <v>-9.25925925925926</v>
      </c>
      <c r="K20" s="163">
        <f t="shared" si="3"/>
        <v>-125</v>
      </c>
    </row>
    <row r="21" spans="1:11" s="140" customFormat="1" ht="18" customHeight="1">
      <c r="A21" s="155"/>
      <c r="B21" s="155"/>
      <c r="C21" s="155"/>
      <c r="D21" s="155"/>
      <c r="E21" s="155"/>
      <c r="F21" s="155"/>
      <c r="G21" s="176" t="s">
        <v>249</v>
      </c>
      <c r="H21" s="155">
        <f>6870+1500+5000</f>
        <v>13370</v>
      </c>
      <c r="I21" s="155">
        <v>15000</v>
      </c>
      <c r="J21" s="169">
        <f>(I21-H21)/H21*100</f>
        <v>12.19147344801795</v>
      </c>
      <c r="K21" s="163">
        <f t="shared" si="3"/>
        <v>1630</v>
      </c>
    </row>
    <row r="22" spans="1:11" s="140" customFormat="1" ht="18" customHeight="1">
      <c r="A22" s="155"/>
      <c r="B22" s="155"/>
      <c r="C22" s="155"/>
      <c r="D22" s="155"/>
      <c r="E22" s="173"/>
      <c r="F22" s="156"/>
      <c r="G22" s="176" t="s">
        <v>250</v>
      </c>
      <c r="H22" s="155">
        <v>410</v>
      </c>
      <c r="I22" s="155">
        <v>320</v>
      </c>
      <c r="J22" s="169">
        <f>(I22-H22)/H22*100</f>
        <v>-21.951219512195124</v>
      </c>
      <c r="K22" s="163">
        <f t="shared" si="3"/>
        <v>-90</v>
      </c>
    </row>
    <row r="23" spans="1:11" s="140" customFormat="1" ht="18" customHeight="1">
      <c r="A23" s="180"/>
      <c r="B23" s="180"/>
      <c r="C23" s="180"/>
      <c r="D23" s="180"/>
      <c r="E23" s="181"/>
      <c r="F23" s="182"/>
      <c r="G23" s="176" t="s">
        <v>251</v>
      </c>
      <c r="H23" s="155">
        <f>1000+1000</f>
        <v>2000</v>
      </c>
      <c r="I23" s="155">
        <v>570</v>
      </c>
      <c r="J23" s="169"/>
      <c r="K23" s="163"/>
    </row>
    <row r="24" spans="1:11" s="140" customFormat="1" ht="18" customHeight="1">
      <c r="A24" s="180"/>
      <c r="B24" s="183"/>
      <c r="C24" s="183"/>
      <c r="D24" s="184"/>
      <c r="E24" s="181"/>
      <c r="F24" s="182"/>
      <c r="G24" s="157" t="s">
        <v>252</v>
      </c>
      <c r="H24" s="155">
        <v>4000</v>
      </c>
      <c r="I24" s="155">
        <v>2613</v>
      </c>
      <c r="J24" s="169">
        <f>(I24-H24)/H24*100</f>
        <v>-34.675</v>
      </c>
      <c r="K24" s="163">
        <f>I24-H24</f>
        <v>-1387</v>
      </c>
    </row>
    <row r="25" spans="1:11" s="140" customFormat="1" ht="18" customHeight="1">
      <c r="A25" s="155"/>
      <c r="B25" s="158"/>
      <c r="C25" s="158"/>
      <c r="D25" s="175"/>
      <c r="E25" s="173"/>
      <c r="F25" s="156"/>
      <c r="G25" s="157" t="s">
        <v>253</v>
      </c>
      <c r="H25" s="155"/>
      <c r="I25" s="155">
        <v>19</v>
      </c>
      <c r="J25" s="169"/>
      <c r="K25" s="163"/>
    </row>
    <row r="26" spans="1:11" s="140" customFormat="1" ht="18" customHeight="1">
      <c r="A26" s="146" t="s">
        <v>254</v>
      </c>
      <c r="B26" s="156">
        <f>B6+B14+B15+B16-B18+B17</f>
        <v>212000</v>
      </c>
      <c r="C26" s="156">
        <f>C6+C14+C15+C16-C18+C17</f>
        <v>270000</v>
      </c>
      <c r="D26" s="156">
        <f>D6+D14+D15+D16-D18+D17</f>
        <v>0</v>
      </c>
      <c r="E26" s="173">
        <f>(C26-B26)/B26*100</f>
        <v>27.358490566037734</v>
      </c>
      <c r="F26" s="156">
        <f>C26-B26</f>
        <v>58000</v>
      </c>
      <c r="G26" s="146" t="s">
        <v>255</v>
      </c>
      <c r="H26" s="163">
        <f>SUM(H6:H25)</f>
        <v>212000</v>
      </c>
      <c r="I26" s="156">
        <f>SUM(I6:I25)</f>
        <v>270000</v>
      </c>
      <c r="J26" s="169">
        <f>(I26-H26)/H26*100</f>
        <v>27.358490566037734</v>
      </c>
      <c r="K26" s="163">
        <f>I26-H26</f>
        <v>58000</v>
      </c>
    </row>
    <row r="27" spans="1:249" s="139" customFormat="1" ht="45.75" customHeight="1">
      <c r="A27" s="185" t="s">
        <v>256</v>
      </c>
      <c r="B27" s="185"/>
      <c r="C27" s="185"/>
      <c r="D27" s="185"/>
      <c r="E27" s="185"/>
      <c r="F27" s="185"/>
      <c r="G27" s="185"/>
      <c r="H27" s="185"/>
      <c r="I27" s="185"/>
      <c r="J27" s="185"/>
      <c r="K27" s="185"/>
      <c r="IO27" s="143"/>
    </row>
    <row r="28" s="141" customFormat="1" ht="14.25"/>
    <row r="29" s="141" customFormat="1" ht="14.25"/>
    <row r="30" s="141" customFormat="1" ht="14.25"/>
    <row r="31" s="141" customFormat="1" ht="14.25"/>
    <row r="32" s="141" customFormat="1" ht="14.25"/>
    <row r="33" s="141" customFormat="1" ht="14.25"/>
    <row r="34" s="141" customFormat="1" ht="14.25"/>
    <row r="35" s="141" customFormat="1" ht="14.25"/>
    <row r="36" s="141" customFormat="1" ht="14.25"/>
    <row r="37" s="141" customFormat="1" ht="14.25"/>
    <row r="38" s="141" customFormat="1" ht="14.25"/>
    <row r="39" s="141" customFormat="1" ht="14.25"/>
    <row r="40" s="141" customFormat="1" ht="14.25"/>
    <row r="41" s="141" customFormat="1" ht="14.25"/>
    <row r="42" s="141" customFormat="1" ht="14.25"/>
    <row r="43" s="141" customFormat="1" ht="14.25"/>
    <row r="44" s="141" customFormat="1" ht="14.25"/>
    <row r="45" s="141" customFormat="1" ht="14.25"/>
    <row r="46" s="141" customFormat="1" ht="14.25"/>
    <row r="47" s="141" customFormat="1" ht="14.25"/>
    <row r="48" s="141" customFormat="1" ht="14.25"/>
    <row r="49" s="141" customFormat="1" ht="14.25"/>
    <row r="50" s="141" customFormat="1" ht="14.25"/>
    <row r="51" s="141" customFormat="1" ht="14.25"/>
    <row r="52" s="141" customFormat="1" ht="14.25"/>
    <row r="53" s="141" customFormat="1" ht="14.25"/>
    <row r="54" s="141" customFormat="1" ht="14.25"/>
    <row r="55" s="141" customFormat="1" ht="14.25"/>
    <row r="56" s="141" customFormat="1" ht="14.25"/>
    <row r="57" s="141" customFormat="1" ht="14.25"/>
    <row r="58" s="141" customFormat="1" ht="14.25"/>
    <row r="59" s="141" customFormat="1" ht="14.25"/>
    <row r="60" s="141" customFormat="1" ht="14.25"/>
    <row r="61" s="141" customFormat="1" ht="14.25"/>
    <row r="62" s="141" customFormat="1" ht="14.25"/>
    <row r="63" s="141" customFormat="1" ht="14.25"/>
    <row r="64" s="141" customFormat="1" ht="14.25"/>
    <row r="65" s="141" customFormat="1" ht="14.25"/>
    <row r="66" s="141" customFormat="1" ht="14.25"/>
    <row r="67" s="141" customFormat="1" ht="14.25"/>
    <row r="68" s="141" customFormat="1" ht="14.25">
      <c r="B68" s="170"/>
    </row>
    <row r="69" s="141" customFormat="1" ht="14.25"/>
    <row r="70" s="141" customFormat="1" ht="14.25"/>
    <row r="71" s="141" customFormat="1" ht="14.25"/>
    <row r="72" s="141" customFormat="1" ht="14.25"/>
    <row r="73" s="141" customFormat="1" ht="14.25"/>
    <row r="74" s="141" customFormat="1" ht="14.25"/>
    <row r="75" s="141" customFormat="1" ht="14.25"/>
    <row r="76" s="141" customFormat="1" ht="14.25"/>
    <row r="77" s="141" customFormat="1" ht="14.25"/>
    <row r="78" s="141" customFormat="1" ht="14.25"/>
    <row r="79" s="141" customFormat="1" ht="14.25"/>
    <row r="80" s="141" customFormat="1" ht="14.25"/>
    <row r="81" s="141" customFormat="1" ht="14.25"/>
    <row r="82" s="141" customFormat="1" ht="14.25"/>
    <row r="83" s="141" customFormat="1" ht="14.25"/>
    <row r="84" s="141" customFormat="1" ht="14.25"/>
    <row r="85" s="141" customFormat="1" ht="14.25"/>
    <row r="86" spans="2:249" s="139" customFormat="1" ht="14.25">
      <c r="B86" s="171"/>
      <c r="E86" s="142"/>
      <c r="IO86" s="143"/>
    </row>
  </sheetData>
  <sheetProtection/>
  <mergeCells count="14">
    <mergeCell ref="A1:K1"/>
    <mergeCell ref="J2:K2"/>
    <mergeCell ref="A3:F3"/>
    <mergeCell ref="G3:K3"/>
    <mergeCell ref="E4:F4"/>
    <mergeCell ref="J4:K4"/>
    <mergeCell ref="A27:K27"/>
    <mergeCell ref="A4:A5"/>
    <mergeCell ref="B4:B5"/>
    <mergeCell ref="C4:C5"/>
    <mergeCell ref="D4:D5"/>
    <mergeCell ref="G4:G5"/>
    <mergeCell ref="H4:H5"/>
    <mergeCell ref="I4:I5"/>
  </mergeCells>
  <printOptions horizontalCentered="1" verticalCentered="1"/>
  <pageMargins left="0.7868055555555555" right="0.7868055555555555" top="0.5902777777777778" bottom="0.7868055555555555" header="0.2791666666666667" footer="0.35"/>
  <pageSetup firstPageNumber="22" useFirstPageNumber="1" horizontalDpi="600" verticalDpi="600" orientation="landscape" paperSize="9" scale="88"/>
</worksheet>
</file>

<file path=xl/worksheets/sheet12.xml><?xml version="1.0" encoding="utf-8"?>
<worksheet xmlns="http://schemas.openxmlformats.org/spreadsheetml/2006/main" xmlns:r="http://schemas.openxmlformats.org/officeDocument/2006/relationships">
  <sheetPr>
    <tabColor rgb="FF00B0F0"/>
  </sheetPr>
  <dimension ref="A1:IV86"/>
  <sheetViews>
    <sheetView showZeros="0" view="pageBreakPreview" zoomScaleSheetLayoutView="100" workbookViewId="0" topLeftCell="A4">
      <selection activeCell="B31" sqref="B31"/>
    </sheetView>
  </sheetViews>
  <sheetFormatPr defaultColWidth="9.00390625" defaultRowHeight="14.25"/>
  <cols>
    <col min="1" max="1" width="40.75390625" style="139" customWidth="1"/>
    <col min="2" max="2" width="7.25390625" style="139" customWidth="1"/>
    <col min="3" max="3" width="7.125" style="139" customWidth="1"/>
    <col min="4" max="4" width="9.625" style="142" customWidth="1"/>
    <col min="5" max="5" width="7.00390625" style="139" customWidth="1"/>
    <col min="6" max="6" width="29.25390625" style="139" customWidth="1"/>
    <col min="7" max="7" width="7.25390625" style="139" customWidth="1"/>
    <col min="8" max="8" width="7.375" style="139" customWidth="1"/>
    <col min="9" max="9" width="7.50390625" style="139" customWidth="1"/>
    <col min="10" max="10" width="7.00390625" style="139" customWidth="1"/>
    <col min="11" max="11" width="6.625" style="139" customWidth="1"/>
    <col min="12" max="17" width="9.00390625" style="139" hidden="1" customWidth="1"/>
    <col min="18" max="32" width="9.00390625" style="139" customWidth="1"/>
    <col min="33" max="224" width="8.75390625" style="139" customWidth="1"/>
    <col min="225" max="254" width="9.00390625" style="139" customWidth="1"/>
    <col min="255" max="16384" width="9.00390625" style="143" customWidth="1"/>
  </cols>
  <sheetData>
    <row r="1" spans="1:256" s="139" customFormat="1" ht="23.25" customHeight="1">
      <c r="A1" s="144" t="s">
        <v>257</v>
      </c>
      <c r="B1" s="144"/>
      <c r="C1" s="144"/>
      <c r="D1" s="144"/>
      <c r="E1" s="144"/>
      <c r="F1" s="144"/>
      <c r="G1" s="144"/>
      <c r="H1" s="144"/>
      <c r="I1" s="144"/>
      <c r="J1" s="144"/>
      <c r="IU1" s="143"/>
      <c r="IV1" s="143"/>
    </row>
    <row r="2" spans="1:256" s="139" customFormat="1" ht="14.25">
      <c r="A2" s="140" t="s">
        <v>258</v>
      </c>
      <c r="B2" s="140"/>
      <c r="C2" s="140"/>
      <c r="D2" s="145"/>
      <c r="E2" s="140"/>
      <c r="F2" s="140"/>
      <c r="G2" s="140"/>
      <c r="H2" s="140"/>
      <c r="I2" s="166" t="s">
        <v>2</v>
      </c>
      <c r="J2" s="166"/>
      <c r="IU2" s="143"/>
      <c r="IV2" s="143"/>
    </row>
    <row r="3" spans="1:256" s="139" customFormat="1" ht="16.5" customHeight="1">
      <c r="A3" s="146" t="s">
        <v>230</v>
      </c>
      <c r="B3" s="146"/>
      <c r="C3" s="146"/>
      <c r="D3" s="146"/>
      <c r="E3" s="146"/>
      <c r="F3" s="146" t="s">
        <v>231</v>
      </c>
      <c r="G3" s="146"/>
      <c r="H3" s="146"/>
      <c r="I3" s="146"/>
      <c r="J3" s="146"/>
      <c r="IU3" s="143"/>
      <c r="IV3" s="143"/>
    </row>
    <row r="4" spans="1:256" s="139" customFormat="1" ht="29.25" customHeight="1">
      <c r="A4" s="147" t="s">
        <v>232</v>
      </c>
      <c r="B4" s="148" t="s">
        <v>233</v>
      </c>
      <c r="C4" s="148" t="s">
        <v>234</v>
      </c>
      <c r="D4" s="148" t="s">
        <v>259</v>
      </c>
      <c r="E4" s="148"/>
      <c r="F4" s="147" t="s">
        <v>3</v>
      </c>
      <c r="G4" s="148" t="s">
        <v>233</v>
      </c>
      <c r="H4" s="148" t="s">
        <v>234</v>
      </c>
      <c r="I4" s="148" t="s">
        <v>260</v>
      </c>
      <c r="J4" s="148"/>
      <c r="IU4" s="143"/>
      <c r="IV4" s="143"/>
    </row>
    <row r="5" spans="1:256" s="139" customFormat="1" ht="16.5" customHeight="1">
      <c r="A5" s="147"/>
      <c r="B5" s="148"/>
      <c r="C5" s="148"/>
      <c r="D5" s="149" t="s">
        <v>238</v>
      </c>
      <c r="E5" s="148" t="s">
        <v>11</v>
      </c>
      <c r="F5" s="147"/>
      <c r="G5" s="148"/>
      <c r="H5" s="148"/>
      <c r="I5" s="148" t="s">
        <v>238</v>
      </c>
      <c r="J5" s="148" t="s">
        <v>11</v>
      </c>
      <c r="IU5" s="143"/>
      <c r="IV5" s="143"/>
    </row>
    <row r="6" spans="1:256" s="139" customFormat="1" ht="18" customHeight="1">
      <c r="A6" s="150" t="s">
        <v>61</v>
      </c>
      <c r="B6" s="151">
        <v>13900</v>
      </c>
      <c r="C6" s="151">
        <f>C7+C8</f>
        <v>13150</v>
      </c>
      <c r="D6" s="152">
        <f aca="true" t="shared" si="0" ref="D6:D12">(C6-B6)/B6*100</f>
        <v>-5.39568345323741</v>
      </c>
      <c r="E6" s="153">
        <f aca="true" t="shared" si="1" ref="E6:E13">C6-B6</f>
        <v>-750</v>
      </c>
      <c r="F6" s="154" t="s">
        <v>36</v>
      </c>
      <c r="G6" s="155">
        <f>23736-120+3000-4000</f>
        <v>22616</v>
      </c>
      <c r="H6" s="155">
        <f>20608-2000</f>
        <v>18608</v>
      </c>
      <c r="I6" s="167">
        <f>(H6-G6)/G6*100</f>
        <v>-17.721966749204103</v>
      </c>
      <c r="J6" s="163">
        <f>H6-G6</f>
        <v>-4008</v>
      </c>
      <c r="L6" s="168">
        <v>25250</v>
      </c>
      <c r="M6" s="139">
        <f>4000-650-190</f>
        <v>3160</v>
      </c>
      <c r="N6" s="139">
        <f>L6-M6</f>
        <v>22090</v>
      </c>
      <c r="IU6" s="143"/>
      <c r="IV6" s="143"/>
    </row>
    <row r="7" spans="1:14" s="140" customFormat="1" ht="18" customHeight="1">
      <c r="A7" s="155" t="s">
        <v>13</v>
      </c>
      <c r="B7" s="156">
        <v>10840</v>
      </c>
      <c r="C7" s="156">
        <f>12750-1740</f>
        <v>11010</v>
      </c>
      <c r="D7" s="152">
        <f t="shared" si="0"/>
        <v>1.5682656826568264</v>
      </c>
      <c r="E7" s="153">
        <f t="shared" si="1"/>
        <v>170</v>
      </c>
      <c r="F7" s="157" t="s">
        <v>239</v>
      </c>
      <c r="G7" s="155">
        <f>6300+500</f>
        <v>6800</v>
      </c>
      <c r="H7" s="155">
        <v>9430</v>
      </c>
      <c r="I7" s="167">
        <f aca="true" t="shared" si="2" ref="I7:I24">(H7-G7)/G7*100</f>
        <v>38.6764705882353</v>
      </c>
      <c r="J7" s="163">
        <f aca="true" t="shared" si="3" ref="J7:J24">H7-G7</f>
        <v>2630</v>
      </c>
      <c r="L7" s="168">
        <v>6100</v>
      </c>
      <c r="N7" s="139">
        <f aca="true" t="shared" si="4" ref="N7:N22">L7-M7</f>
        <v>6100</v>
      </c>
    </row>
    <row r="8" spans="1:14" s="140" customFormat="1" ht="18" customHeight="1">
      <c r="A8" s="150" t="s">
        <v>16</v>
      </c>
      <c r="B8" s="158">
        <f>SUM(B9:B13)</f>
        <v>3060</v>
      </c>
      <c r="C8" s="158">
        <f>SUM(C9:C13)</f>
        <v>2140</v>
      </c>
      <c r="D8" s="152">
        <f t="shared" si="0"/>
        <v>-30.065359477124183</v>
      </c>
      <c r="E8" s="153">
        <f t="shared" si="1"/>
        <v>-920</v>
      </c>
      <c r="F8" s="159" t="s">
        <v>38</v>
      </c>
      <c r="G8" s="155">
        <f>52000+1500+300</f>
        <v>53800</v>
      </c>
      <c r="H8" s="155">
        <v>61680</v>
      </c>
      <c r="I8" s="167">
        <f t="shared" si="2"/>
        <v>14.646840148698884</v>
      </c>
      <c r="J8" s="163">
        <f t="shared" si="3"/>
        <v>7880</v>
      </c>
      <c r="L8" s="168">
        <v>52000</v>
      </c>
      <c r="N8" s="139">
        <f t="shared" si="4"/>
        <v>52000</v>
      </c>
    </row>
    <row r="9" spans="1:14" s="140" customFormat="1" ht="18" customHeight="1">
      <c r="A9" s="155" t="s">
        <v>261</v>
      </c>
      <c r="B9" s="158">
        <v>750</v>
      </c>
      <c r="C9" s="158">
        <v>520</v>
      </c>
      <c r="D9" s="152">
        <f t="shared" si="0"/>
        <v>-30.666666666666664</v>
      </c>
      <c r="E9" s="153">
        <f t="shared" si="1"/>
        <v>-230</v>
      </c>
      <c r="F9" s="157" t="s">
        <v>39</v>
      </c>
      <c r="G9" s="155">
        <v>260</v>
      </c>
      <c r="H9" s="155">
        <v>840</v>
      </c>
      <c r="I9" s="167">
        <f t="shared" si="2"/>
        <v>223.0769230769231</v>
      </c>
      <c r="J9" s="163">
        <f t="shared" si="3"/>
        <v>580</v>
      </c>
      <c r="L9" s="168">
        <v>240</v>
      </c>
      <c r="N9" s="139">
        <f t="shared" si="4"/>
        <v>240</v>
      </c>
    </row>
    <row r="10" spans="1:14" s="140" customFormat="1" ht="18" customHeight="1">
      <c r="A10" s="155" t="s">
        <v>241</v>
      </c>
      <c r="B10" s="158">
        <v>560</v>
      </c>
      <c r="C10" s="158">
        <f>980-60</f>
        <v>920</v>
      </c>
      <c r="D10" s="152">
        <f t="shared" si="0"/>
        <v>64.28571428571429</v>
      </c>
      <c r="E10" s="153">
        <f t="shared" si="1"/>
        <v>360</v>
      </c>
      <c r="F10" s="157" t="s">
        <v>262</v>
      </c>
      <c r="G10" s="155">
        <f>5354+1100-500</f>
        <v>5954</v>
      </c>
      <c r="H10" s="155">
        <f>3675-100</f>
        <v>3575</v>
      </c>
      <c r="I10" s="167">
        <f t="shared" si="2"/>
        <v>-39.956331877729255</v>
      </c>
      <c r="J10" s="163">
        <f t="shared" si="3"/>
        <v>-2379</v>
      </c>
      <c r="L10" s="168">
        <v>6200</v>
      </c>
      <c r="M10" s="140">
        <v>400</v>
      </c>
      <c r="N10" s="139">
        <f t="shared" si="4"/>
        <v>5800</v>
      </c>
    </row>
    <row r="11" spans="1:14" s="140" customFormat="1" ht="18" customHeight="1">
      <c r="A11" s="155" t="s">
        <v>242</v>
      </c>
      <c r="B11" s="158">
        <v>800</v>
      </c>
      <c r="C11" s="158">
        <v>100</v>
      </c>
      <c r="D11" s="152">
        <f t="shared" si="0"/>
        <v>-87.5</v>
      </c>
      <c r="E11" s="153">
        <f t="shared" si="1"/>
        <v>-700</v>
      </c>
      <c r="F11" s="157" t="s">
        <v>41</v>
      </c>
      <c r="G11" s="155">
        <f>18600+1000-600</f>
        <v>19000</v>
      </c>
      <c r="H11" s="155">
        <f>34572-5000</f>
        <v>29572</v>
      </c>
      <c r="I11" s="167">
        <f t="shared" si="2"/>
        <v>55.642105263157895</v>
      </c>
      <c r="J11" s="163">
        <f t="shared" si="3"/>
        <v>10572</v>
      </c>
      <c r="L11" s="168">
        <v>17840</v>
      </c>
      <c r="M11" s="140">
        <v>400</v>
      </c>
      <c r="N11" s="139">
        <f t="shared" si="4"/>
        <v>17440</v>
      </c>
    </row>
    <row r="12" spans="1:14" s="140" customFormat="1" ht="18" customHeight="1">
      <c r="A12" s="155" t="s">
        <v>243</v>
      </c>
      <c r="B12" s="158">
        <v>950</v>
      </c>
      <c r="C12" s="158">
        <v>600</v>
      </c>
      <c r="D12" s="152">
        <f t="shared" si="0"/>
        <v>-36.84210526315789</v>
      </c>
      <c r="E12" s="153">
        <f t="shared" si="1"/>
        <v>-350</v>
      </c>
      <c r="F12" s="157" t="s">
        <v>42</v>
      </c>
      <c r="G12" s="155">
        <f>22100+1000-900</f>
        <v>22200</v>
      </c>
      <c r="H12" s="155">
        <f>34550-1000</f>
        <v>33550</v>
      </c>
      <c r="I12" s="167">
        <f t="shared" si="2"/>
        <v>51.126126126126124</v>
      </c>
      <c r="J12" s="163">
        <f t="shared" si="3"/>
        <v>11350</v>
      </c>
      <c r="L12" s="168">
        <v>21000</v>
      </c>
      <c r="M12" s="140">
        <v>300</v>
      </c>
      <c r="N12" s="139">
        <f t="shared" si="4"/>
        <v>20700</v>
      </c>
    </row>
    <row r="13" spans="1:16" s="140" customFormat="1" ht="18" customHeight="1">
      <c r="A13" s="155" t="s">
        <v>244</v>
      </c>
      <c r="B13" s="158"/>
      <c r="C13" s="156"/>
      <c r="D13" s="152"/>
      <c r="E13" s="153">
        <f t="shared" si="1"/>
        <v>0</v>
      </c>
      <c r="F13" s="157" t="s">
        <v>43</v>
      </c>
      <c r="G13" s="155">
        <f>6400-600</f>
        <v>5800</v>
      </c>
      <c r="H13" s="155">
        <v>11122</v>
      </c>
      <c r="I13" s="167">
        <f t="shared" si="2"/>
        <v>91.75862068965517</v>
      </c>
      <c r="J13" s="163">
        <f t="shared" si="3"/>
        <v>5322</v>
      </c>
      <c r="L13" s="168">
        <v>6000</v>
      </c>
      <c r="M13" s="140">
        <v>590</v>
      </c>
      <c r="N13" s="139">
        <f t="shared" si="4"/>
        <v>5410</v>
      </c>
      <c r="P13" s="140">
        <f>540+50</f>
        <v>590</v>
      </c>
    </row>
    <row r="14" spans="1:14" s="140" customFormat="1" ht="18" customHeight="1">
      <c r="A14" s="155" t="s">
        <v>22</v>
      </c>
      <c r="B14" s="158">
        <v>80518</v>
      </c>
      <c r="C14" s="158">
        <v>83496</v>
      </c>
      <c r="D14" s="152">
        <f aca="true" t="shared" si="5" ref="D14:D19">(C14-B14)/B14*100</f>
        <v>3.698551876599021</v>
      </c>
      <c r="E14" s="153">
        <f aca="true" t="shared" si="6" ref="E14:E19">C14-B14</f>
        <v>2978</v>
      </c>
      <c r="F14" s="157" t="s">
        <v>44</v>
      </c>
      <c r="G14" s="155">
        <f>3630-500</f>
        <v>3130</v>
      </c>
      <c r="H14" s="155">
        <v>7954</v>
      </c>
      <c r="I14" s="167">
        <f t="shared" si="2"/>
        <v>154.12140575079871</v>
      </c>
      <c r="J14" s="163">
        <f t="shared" si="3"/>
        <v>4824</v>
      </c>
      <c r="L14" s="168">
        <v>3500</v>
      </c>
      <c r="M14" s="140">
        <v>450</v>
      </c>
      <c r="N14" s="139">
        <f t="shared" si="4"/>
        <v>3050</v>
      </c>
    </row>
    <row r="15" spans="1:16" s="140" customFormat="1" ht="18" customHeight="1">
      <c r="A15" s="155" t="s">
        <v>23</v>
      </c>
      <c r="B15" s="158">
        <v>100000</v>
      </c>
      <c r="C15" s="158">
        <v>120000</v>
      </c>
      <c r="D15" s="152">
        <f t="shared" si="5"/>
        <v>20</v>
      </c>
      <c r="E15" s="153">
        <f t="shared" si="6"/>
        <v>20000</v>
      </c>
      <c r="F15" s="157" t="s">
        <v>45</v>
      </c>
      <c r="G15" s="155">
        <f>21000+16200-150-9000</f>
        <v>28050</v>
      </c>
      <c r="H15" s="155">
        <f>50642-1000</f>
        <v>49642</v>
      </c>
      <c r="I15" s="167">
        <f t="shared" si="2"/>
        <v>76.97682709447416</v>
      </c>
      <c r="J15" s="163">
        <f t="shared" si="3"/>
        <v>21592</v>
      </c>
      <c r="L15" s="168">
        <v>35200</v>
      </c>
      <c r="M15" s="140">
        <v>11000</v>
      </c>
      <c r="N15" s="139">
        <f t="shared" si="4"/>
        <v>24200</v>
      </c>
      <c r="P15" s="140">
        <f>450+100+2577</f>
        <v>3127</v>
      </c>
    </row>
    <row r="16" spans="1:14" s="140" customFormat="1" ht="18" customHeight="1">
      <c r="A16" s="155" t="s">
        <v>245</v>
      </c>
      <c r="B16" s="158">
        <v>13400</v>
      </c>
      <c r="C16" s="158">
        <v>25443</v>
      </c>
      <c r="D16" s="152">
        <f t="shared" si="5"/>
        <v>89.8731343283582</v>
      </c>
      <c r="E16" s="153">
        <f t="shared" si="6"/>
        <v>12043</v>
      </c>
      <c r="F16" s="157" t="s">
        <v>46</v>
      </c>
      <c r="G16" s="155">
        <f>2800+3100-200</f>
        <v>5700</v>
      </c>
      <c r="H16" s="155">
        <v>8245</v>
      </c>
      <c r="I16" s="167">
        <f t="shared" si="2"/>
        <v>44.64912280701754</v>
      </c>
      <c r="J16" s="163">
        <f t="shared" si="3"/>
        <v>2545</v>
      </c>
      <c r="L16" s="168">
        <v>5620</v>
      </c>
      <c r="M16" s="140">
        <v>300</v>
      </c>
      <c r="N16" s="139">
        <f t="shared" si="4"/>
        <v>5320</v>
      </c>
    </row>
    <row r="17" spans="1:14" s="140" customFormat="1" ht="18" customHeight="1">
      <c r="A17" s="155" t="s">
        <v>67</v>
      </c>
      <c r="B17" s="155">
        <v>15000</v>
      </c>
      <c r="C17" s="158">
        <v>17300</v>
      </c>
      <c r="D17" s="152">
        <f t="shared" si="5"/>
        <v>15.333333333333332</v>
      </c>
      <c r="E17" s="153">
        <f t="shared" si="6"/>
        <v>2300</v>
      </c>
      <c r="F17" s="157" t="s">
        <v>263</v>
      </c>
      <c r="G17" s="155">
        <v>660</v>
      </c>
      <c r="H17" s="155">
        <v>1700</v>
      </c>
      <c r="I17" s="167">
        <f t="shared" si="2"/>
        <v>157.57575757575756</v>
      </c>
      <c r="J17" s="163">
        <f t="shared" si="3"/>
        <v>1040</v>
      </c>
      <c r="L17" s="168">
        <v>620</v>
      </c>
      <c r="N17" s="139">
        <f t="shared" si="4"/>
        <v>620</v>
      </c>
    </row>
    <row r="18" spans="1:14" s="140" customFormat="1" ht="18" customHeight="1">
      <c r="A18" s="155" t="s">
        <v>26</v>
      </c>
      <c r="B18" s="158">
        <v>5000</v>
      </c>
      <c r="C18" s="158">
        <v>30000</v>
      </c>
      <c r="D18" s="152">
        <f t="shared" si="5"/>
        <v>500</v>
      </c>
      <c r="E18" s="153">
        <f t="shared" si="6"/>
        <v>25000</v>
      </c>
      <c r="F18" s="160" t="s">
        <v>48</v>
      </c>
      <c r="G18" s="155">
        <f>600</f>
        <v>600</v>
      </c>
      <c r="H18" s="155">
        <v>235</v>
      </c>
      <c r="I18" s="167">
        <f t="shared" si="2"/>
        <v>-60.83333333333333</v>
      </c>
      <c r="J18" s="163">
        <f t="shared" si="3"/>
        <v>-365</v>
      </c>
      <c r="L18" s="168">
        <v>580</v>
      </c>
      <c r="N18" s="139">
        <f t="shared" si="4"/>
        <v>580</v>
      </c>
    </row>
    <row r="19" spans="1:14" s="140" customFormat="1" ht="18" customHeight="1">
      <c r="A19" s="155" t="s">
        <v>264</v>
      </c>
      <c r="B19" s="158">
        <v>2718</v>
      </c>
      <c r="C19" s="158">
        <v>3889</v>
      </c>
      <c r="D19" s="152">
        <f t="shared" si="5"/>
        <v>43.083149374540106</v>
      </c>
      <c r="E19" s="153">
        <f t="shared" si="6"/>
        <v>1171</v>
      </c>
      <c r="F19" s="160" t="s">
        <v>49</v>
      </c>
      <c r="G19" s="155"/>
      <c r="H19" s="155"/>
      <c r="I19" s="167"/>
      <c r="J19" s="163">
        <f t="shared" si="3"/>
        <v>0</v>
      </c>
      <c r="L19" s="168"/>
      <c r="N19" s="139">
        <f t="shared" si="4"/>
        <v>0</v>
      </c>
    </row>
    <row r="20" spans="1:14" s="140" customFormat="1" ht="18" customHeight="1">
      <c r="A20" s="155"/>
      <c r="B20" s="155"/>
      <c r="C20" s="155"/>
      <c r="D20" s="155"/>
      <c r="E20" s="155"/>
      <c r="F20" s="161" t="s">
        <v>248</v>
      </c>
      <c r="G20" s="155">
        <f>1150+200</f>
        <v>1350</v>
      </c>
      <c r="H20" s="155">
        <v>1225</v>
      </c>
      <c r="I20" s="167">
        <f t="shared" si="2"/>
        <v>-9.25925925925926</v>
      </c>
      <c r="J20" s="163">
        <f t="shared" si="3"/>
        <v>-125</v>
      </c>
      <c r="L20" s="168">
        <v>1160</v>
      </c>
      <c r="N20" s="139">
        <f t="shared" si="4"/>
        <v>1160</v>
      </c>
    </row>
    <row r="21" spans="1:14" s="140" customFormat="1" ht="18" customHeight="1">
      <c r="A21" s="155"/>
      <c r="B21" s="155"/>
      <c r="C21" s="155"/>
      <c r="D21" s="155"/>
      <c r="E21" s="155"/>
      <c r="F21" s="157" t="s">
        <v>249</v>
      </c>
      <c r="G21" s="155">
        <f>6870+1500+5000-600</f>
        <v>12770</v>
      </c>
      <c r="H21" s="155">
        <v>10000</v>
      </c>
      <c r="I21" s="167">
        <f t="shared" si="2"/>
        <v>-21.69146436961629</v>
      </c>
      <c r="J21" s="163">
        <f t="shared" si="3"/>
        <v>-2770</v>
      </c>
      <c r="L21" s="168">
        <v>11950</v>
      </c>
      <c r="M21" s="140">
        <v>200</v>
      </c>
      <c r="N21" s="139">
        <f t="shared" si="4"/>
        <v>11750</v>
      </c>
    </row>
    <row r="22" spans="1:14" s="140" customFormat="1" ht="18" customHeight="1">
      <c r="A22" s="155"/>
      <c r="B22" s="155"/>
      <c r="C22" s="155"/>
      <c r="D22" s="155"/>
      <c r="E22" s="155"/>
      <c r="F22" s="157" t="s">
        <v>250</v>
      </c>
      <c r="G22" s="155">
        <v>410</v>
      </c>
      <c r="H22" s="155">
        <v>320</v>
      </c>
      <c r="I22" s="167">
        <f t="shared" si="2"/>
        <v>-21.951219512195124</v>
      </c>
      <c r="J22" s="163">
        <f t="shared" si="3"/>
        <v>-90</v>
      </c>
      <c r="L22" s="168">
        <v>310</v>
      </c>
      <c r="N22" s="139">
        <f t="shared" si="4"/>
        <v>310</v>
      </c>
    </row>
    <row r="23" spans="1:14" s="140" customFormat="1" ht="18" customHeight="1">
      <c r="A23" s="155"/>
      <c r="B23" s="162"/>
      <c r="C23" s="155"/>
      <c r="D23" s="152"/>
      <c r="E23" s="153"/>
      <c r="F23" s="157" t="s">
        <v>251</v>
      </c>
      <c r="G23" s="155">
        <f>1000+1000</f>
        <v>2000</v>
      </c>
      <c r="H23" s="155">
        <v>570</v>
      </c>
      <c r="I23" s="167"/>
      <c r="J23" s="163">
        <f t="shared" si="3"/>
        <v>-1430</v>
      </c>
      <c r="L23" s="168"/>
      <c r="N23" s="139"/>
    </row>
    <row r="24" spans="1:14" s="140" customFormat="1" ht="18" customHeight="1">
      <c r="A24" s="155"/>
      <c r="B24" s="155"/>
      <c r="C24" s="155"/>
      <c r="D24" s="152"/>
      <c r="E24" s="153"/>
      <c r="F24" s="157" t="s">
        <v>265</v>
      </c>
      <c r="G24" s="155">
        <v>4000</v>
      </c>
      <c r="H24" s="155">
        <v>2613</v>
      </c>
      <c r="I24" s="167">
        <f t="shared" si="2"/>
        <v>-34.675</v>
      </c>
      <c r="J24" s="163">
        <f t="shared" si="3"/>
        <v>-1387</v>
      </c>
      <c r="L24" s="168">
        <v>3430</v>
      </c>
      <c r="N24" s="139">
        <f>L24-M24</f>
        <v>3430</v>
      </c>
    </row>
    <row r="25" spans="1:14" s="140" customFormat="1" ht="18" customHeight="1">
      <c r="A25" s="155"/>
      <c r="B25" s="155"/>
      <c r="C25" s="155"/>
      <c r="D25" s="152"/>
      <c r="E25" s="153"/>
      <c r="F25" s="157" t="s">
        <v>253</v>
      </c>
      <c r="G25" s="155"/>
      <c r="H25" s="155">
        <v>19</v>
      </c>
      <c r="I25" s="167"/>
      <c r="J25" s="163"/>
      <c r="L25" s="140">
        <f>SUM(L6:L24)</f>
        <v>197000</v>
      </c>
      <c r="M25" s="140">
        <f>SUM(M6:M24)</f>
        <v>16800</v>
      </c>
      <c r="N25" s="140">
        <f>SUM(N6:N24)</f>
        <v>180200</v>
      </c>
    </row>
    <row r="26" spans="1:13" s="140" customFormat="1" ht="18" customHeight="1">
      <c r="A26" s="155"/>
      <c r="B26" s="155"/>
      <c r="C26" s="155"/>
      <c r="D26" s="152"/>
      <c r="E26" s="153"/>
      <c r="F26" s="157"/>
      <c r="G26" s="155"/>
      <c r="H26" s="155"/>
      <c r="I26" s="167"/>
      <c r="J26" s="163"/>
      <c r="M26" s="140">
        <v>16800</v>
      </c>
    </row>
    <row r="27" spans="1:13" s="140" customFormat="1" ht="18" customHeight="1">
      <c r="A27" s="146" t="s">
        <v>254</v>
      </c>
      <c r="B27" s="163">
        <f>B6+B14+B15+B16+B18-B17-B19</f>
        <v>195100</v>
      </c>
      <c r="C27" s="163">
        <f>C6+C14+C15+C16+C18-C17-C19</f>
        <v>250900</v>
      </c>
      <c r="D27" s="164">
        <f>(C27-B27)/B27*100</f>
        <v>28.60071758072783</v>
      </c>
      <c r="E27" s="163">
        <f>E6+E14+E15+E16+E18-E17-E19</f>
        <v>55800</v>
      </c>
      <c r="F27" s="146" t="s">
        <v>255</v>
      </c>
      <c r="G27" s="163">
        <f>SUM(G6:G26)</f>
        <v>195100</v>
      </c>
      <c r="H27" s="163">
        <f>SUM(H6:H26)</f>
        <v>250900</v>
      </c>
      <c r="I27" s="169">
        <f>(H27-G27)/G27*100</f>
        <v>28.60071758072783</v>
      </c>
      <c r="J27" s="163">
        <f>H27-G27</f>
        <v>55800</v>
      </c>
      <c r="M27" s="140">
        <f>M26-M25</f>
        <v>0</v>
      </c>
    </row>
    <row r="28" spans="1:10" s="140" customFormat="1" ht="16.5" customHeight="1">
      <c r="A28" s="165" t="s">
        <v>266</v>
      </c>
      <c r="B28" s="165"/>
      <c r="C28" s="165"/>
      <c r="D28" s="165"/>
      <c r="E28" s="165"/>
      <c r="F28" s="165"/>
      <c r="G28" s="165"/>
      <c r="H28" s="165"/>
      <c r="I28" s="165"/>
      <c r="J28" s="165"/>
    </row>
    <row r="29" s="141" customFormat="1" ht="14.25"/>
    <row r="30" s="141" customFormat="1" ht="14.25"/>
    <row r="31" s="141" customFormat="1" ht="14.25"/>
    <row r="32" s="141" customFormat="1" ht="14.25"/>
    <row r="33" s="141" customFormat="1" ht="14.25"/>
    <row r="34" s="141" customFormat="1" ht="14.25"/>
    <row r="35" s="141" customFormat="1" ht="14.25"/>
    <row r="36" s="141" customFormat="1" ht="14.25"/>
    <row r="37" s="141" customFormat="1" ht="14.25"/>
    <row r="38" s="141" customFormat="1" ht="14.25"/>
    <row r="39" s="141" customFormat="1" ht="14.25"/>
    <row r="40" s="141" customFormat="1" ht="14.25"/>
    <row r="41" s="141" customFormat="1" ht="14.25"/>
    <row r="42" s="141" customFormat="1" ht="14.25"/>
    <row r="43" s="141" customFormat="1" ht="14.25"/>
    <row r="44" s="141" customFormat="1" ht="14.25"/>
    <row r="45" s="141" customFormat="1" ht="14.25"/>
    <row r="46" s="141" customFormat="1" ht="14.25"/>
    <row r="47" s="141" customFormat="1" ht="14.25"/>
    <row r="48" s="141" customFormat="1" ht="14.25"/>
    <row r="49" s="141" customFormat="1" ht="14.25"/>
    <row r="50" s="141" customFormat="1" ht="14.25"/>
    <row r="51" s="141" customFormat="1" ht="14.25"/>
    <row r="52" s="141" customFormat="1" ht="14.25"/>
    <row r="53" s="141" customFormat="1" ht="14.25"/>
    <row r="54" s="141" customFormat="1" ht="14.25"/>
    <row r="55" s="141" customFormat="1" ht="14.25"/>
    <row r="56" s="141" customFormat="1" ht="14.25"/>
    <row r="57" s="141" customFormat="1" ht="14.25"/>
    <row r="58" s="141" customFormat="1" ht="14.25"/>
    <row r="59" s="141" customFormat="1" ht="14.25"/>
    <row r="60" s="141" customFormat="1" ht="14.25"/>
    <row r="61" s="141" customFormat="1" ht="14.25"/>
    <row r="62" s="141" customFormat="1" ht="14.25"/>
    <row r="63" s="141" customFormat="1" ht="14.25"/>
    <row r="64" s="141" customFormat="1" ht="14.25"/>
    <row r="65" s="141" customFormat="1" ht="14.25"/>
    <row r="66" s="141" customFormat="1" ht="14.25"/>
    <row r="67" s="141" customFormat="1" ht="14.25"/>
    <row r="68" s="141" customFormat="1" ht="14.25">
      <c r="B68" s="170"/>
    </row>
    <row r="69" s="141" customFormat="1" ht="14.25"/>
    <row r="70" s="141" customFormat="1" ht="14.25"/>
    <row r="71" s="141" customFormat="1" ht="14.25"/>
    <row r="72" s="141" customFormat="1" ht="14.25"/>
    <row r="73" s="141" customFormat="1" ht="14.25"/>
    <row r="74" s="141" customFormat="1" ht="14.25"/>
    <row r="75" s="141" customFormat="1" ht="14.25"/>
    <row r="76" s="141" customFormat="1" ht="14.25"/>
    <row r="77" s="141" customFormat="1" ht="14.25"/>
    <row r="78" s="141" customFormat="1" ht="14.25"/>
    <row r="79" s="141" customFormat="1" ht="14.25"/>
    <row r="80" s="141" customFormat="1" ht="14.25"/>
    <row r="81" s="141" customFormat="1" ht="14.25"/>
    <row r="82" s="141" customFormat="1" ht="14.25"/>
    <row r="83" s="141" customFormat="1" ht="14.25"/>
    <row r="84" s="141" customFormat="1" ht="14.25"/>
    <row r="85" s="141" customFormat="1" ht="14.25"/>
    <row r="86" spans="2:256" s="139" customFormat="1" ht="14.25">
      <c r="B86" s="171"/>
      <c r="D86" s="142"/>
      <c r="IU86" s="143"/>
      <c r="IV86" s="143"/>
    </row>
  </sheetData>
  <sheetProtection/>
  <mergeCells count="13">
    <mergeCell ref="A1:J1"/>
    <mergeCell ref="I2:J2"/>
    <mergeCell ref="A3:E3"/>
    <mergeCell ref="F3:J3"/>
    <mergeCell ref="D4:E4"/>
    <mergeCell ref="I4:J4"/>
    <mergeCell ref="A28:J28"/>
    <mergeCell ref="A4:A5"/>
    <mergeCell ref="B4:B5"/>
    <mergeCell ref="C4:C5"/>
    <mergeCell ref="F4:F5"/>
    <mergeCell ref="G4:G5"/>
    <mergeCell ref="H4:H5"/>
  </mergeCells>
  <printOptions horizontalCentered="1"/>
  <pageMargins left="0.38958333333333334" right="0.38958333333333334" top="0.9444444444444444" bottom="0.4326388888888889" header="0.2791666666666667" footer="0.35"/>
  <pageSetup firstPageNumber="22" useFirstPageNumber="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tabColor rgb="FF00B0F0"/>
  </sheetPr>
  <dimension ref="A1:E14"/>
  <sheetViews>
    <sheetView showZeros="0" zoomScaleSheetLayoutView="100" workbookViewId="0" topLeftCell="A4">
      <selection activeCell="C12" sqref="C12"/>
    </sheetView>
  </sheetViews>
  <sheetFormatPr defaultColWidth="8.75390625" defaultRowHeight="14.25"/>
  <cols>
    <col min="1" max="1" width="19.625" style="122" customWidth="1"/>
    <col min="2" max="4" width="11.75390625" style="122" customWidth="1"/>
    <col min="5" max="5" width="73.875" style="122" customWidth="1"/>
    <col min="6" max="23" width="9.00390625" style="122" bestFit="1" customWidth="1"/>
    <col min="24" max="16384" width="8.75390625" style="122" customWidth="1"/>
  </cols>
  <sheetData>
    <row r="1" spans="1:5" ht="28.5" customHeight="1">
      <c r="A1" s="83" t="s">
        <v>267</v>
      </c>
      <c r="B1" s="83"/>
      <c r="C1" s="83"/>
      <c r="D1" s="83"/>
      <c r="E1" s="83"/>
    </row>
    <row r="2" spans="1:5" ht="19.5" customHeight="1">
      <c r="A2" s="123" t="s">
        <v>268</v>
      </c>
      <c r="B2" s="123"/>
      <c r="C2" s="123"/>
      <c r="D2" s="123"/>
      <c r="E2" s="124" t="s">
        <v>2</v>
      </c>
    </row>
    <row r="3" spans="1:5" ht="19.5" customHeight="1">
      <c r="A3" s="125" t="s">
        <v>269</v>
      </c>
      <c r="B3" s="126" t="s">
        <v>270</v>
      </c>
      <c r="C3" s="126"/>
      <c r="D3" s="126"/>
      <c r="E3" s="126" t="s">
        <v>271</v>
      </c>
    </row>
    <row r="4" spans="1:5" ht="19.5" customHeight="1">
      <c r="A4" s="127" t="s">
        <v>79</v>
      </c>
      <c r="B4" s="126" t="s">
        <v>272</v>
      </c>
      <c r="C4" s="126" t="s">
        <v>273</v>
      </c>
      <c r="D4" s="126"/>
      <c r="E4" s="126"/>
    </row>
    <row r="5" spans="1:5" ht="19.5" customHeight="1">
      <c r="A5" s="128" t="s">
        <v>274</v>
      </c>
      <c r="B5" s="126"/>
      <c r="C5" s="126" t="s">
        <v>275</v>
      </c>
      <c r="D5" s="126" t="s">
        <v>74</v>
      </c>
      <c r="E5" s="126"/>
    </row>
    <row r="6" spans="1:5" ht="27" customHeight="1">
      <c r="A6" s="129" t="s">
        <v>276</v>
      </c>
      <c r="B6" s="130">
        <f>SUM(B7:B14)-B8</f>
        <v>269999.89999999997</v>
      </c>
      <c r="C6" s="130">
        <f>SUM(C7:C14)-C8</f>
        <v>250899.88528000002</v>
      </c>
      <c r="D6" s="46">
        <f>SUM(D7:D14)-D8</f>
        <v>19100</v>
      </c>
      <c r="E6" s="126"/>
    </row>
    <row r="7" spans="1:5" ht="66" customHeight="1">
      <c r="A7" s="131" t="s">
        <v>277</v>
      </c>
      <c r="B7" s="132">
        <f aca="true" t="shared" si="0" ref="B7:B14">SUM(C7:D7)</f>
        <v>65961</v>
      </c>
      <c r="C7" s="133">
        <v>56492</v>
      </c>
      <c r="D7" s="132">
        <v>9469</v>
      </c>
      <c r="E7" s="26" t="s">
        <v>278</v>
      </c>
    </row>
    <row r="8" spans="1:5" ht="30" customHeight="1">
      <c r="A8" s="134" t="s">
        <v>279</v>
      </c>
      <c r="B8" s="135">
        <f>B9+B11+B10</f>
        <v>7230.9</v>
      </c>
      <c r="C8" s="136">
        <f>C9+C11+C10</f>
        <v>5104.9</v>
      </c>
      <c r="D8" s="133">
        <f>D9+D11+D10</f>
        <v>2126</v>
      </c>
      <c r="E8" s="11" t="s">
        <v>280</v>
      </c>
    </row>
    <row r="9" spans="1:5" ht="33" customHeight="1">
      <c r="A9" s="137" t="s">
        <v>281</v>
      </c>
      <c r="B9" s="138">
        <f t="shared" si="0"/>
        <v>3241.9</v>
      </c>
      <c r="C9" s="135">
        <v>1888.9</v>
      </c>
      <c r="D9" s="132">
        <v>1353</v>
      </c>
      <c r="E9" s="26" t="s">
        <v>282</v>
      </c>
    </row>
    <row r="10" spans="1:5" ht="30" customHeight="1">
      <c r="A10" s="137" t="s">
        <v>283</v>
      </c>
      <c r="B10" s="132">
        <f t="shared" si="0"/>
        <v>953</v>
      </c>
      <c r="C10" s="133">
        <v>680</v>
      </c>
      <c r="D10" s="132">
        <v>273</v>
      </c>
      <c r="E10" s="26" t="s">
        <v>284</v>
      </c>
    </row>
    <row r="11" spans="1:5" ht="42" customHeight="1">
      <c r="A11" s="137" t="s">
        <v>285</v>
      </c>
      <c r="B11" s="132">
        <f t="shared" si="0"/>
        <v>3036</v>
      </c>
      <c r="C11" s="133">
        <v>2536</v>
      </c>
      <c r="D11" s="132">
        <v>500</v>
      </c>
      <c r="E11" s="26" t="s">
        <v>286</v>
      </c>
    </row>
    <row r="12" spans="1:5" ht="109.5" customHeight="1">
      <c r="A12" s="134" t="s">
        <v>287</v>
      </c>
      <c r="B12" s="132">
        <v>56808</v>
      </c>
      <c r="C12" s="136">
        <v>49302.98528</v>
      </c>
      <c r="D12" s="132">
        <v>7505</v>
      </c>
      <c r="E12" s="26" t="s">
        <v>288</v>
      </c>
    </row>
    <row r="13" spans="1:5" ht="31.5" customHeight="1">
      <c r="A13" s="134" t="s">
        <v>289</v>
      </c>
      <c r="B13" s="132">
        <f t="shared" si="0"/>
        <v>20000</v>
      </c>
      <c r="C13" s="133">
        <v>20000</v>
      </c>
      <c r="D13" s="132"/>
      <c r="E13" s="26" t="s">
        <v>290</v>
      </c>
    </row>
    <row r="14" spans="1:5" ht="45" customHeight="1">
      <c r="A14" s="134" t="s">
        <v>291</v>
      </c>
      <c r="B14" s="132">
        <f t="shared" si="0"/>
        <v>120000</v>
      </c>
      <c r="C14" s="132">
        <v>120000</v>
      </c>
      <c r="D14" s="132"/>
      <c r="E14" s="26" t="s">
        <v>292</v>
      </c>
    </row>
    <row r="15" ht="24.75" customHeight="1"/>
    <row r="16" ht="24.75" customHeight="1"/>
    <row r="17" ht="24.75" customHeight="1"/>
    <row r="18" ht="24.75" customHeight="1"/>
    <row r="19" ht="24.75" customHeight="1"/>
    <row r="20" ht="24.75" customHeight="1"/>
    <row r="21" ht="24.75" customHeight="1"/>
    <row r="22" ht="24.75" customHeight="1"/>
    <row r="23" ht="24.75" customHeight="1"/>
  </sheetData>
  <sheetProtection/>
  <mergeCells count="5">
    <mergeCell ref="A1:E1"/>
    <mergeCell ref="B3:D3"/>
    <mergeCell ref="C4:D4"/>
    <mergeCell ref="B4:B5"/>
    <mergeCell ref="E3:E5"/>
  </mergeCells>
  <printOptions horizontalCentered="1"/>
  <pageMargins left="0.19652777777777777" right="0" top="0.7868055555555555" bottom="0.5902777777777778" header="0.2791666666666667" footer="0.35"/>
  <pageSetup firstPageNumber="22" useFirstPageNumber="1" horizontalDpi="600" verticalDpi="600" orientation="landscape" paperSize="9" scale="91"/>
  <drawing r:id="rId1"/>
</worksheet>
</file>

<file path=xl/worksheets/sheet14.xml><?xml version="1.0" encoding="utf-8"?>
<worksheet xmlns="http://schemas.openxmlformats.org/spreadsheetml/2006/main" xmlns:r="http://schemas.openxmlformats.org/officeDocument/2006/relationships">
  <sheetPr>
    <tabColor rgb="FF00B050"/>
  </sheetPr>
  <dimension ref="A1:S78"/>
  <sheetViews>
    <sheetView showZeros="0" zoomScale="130" zoomScaleNormal="130" zoomScaleSheetLayoutView="100" workbookViewId="0" topLeftCell="A1">
      <pane xSplit="6" ySplit="7" topLeftCell="G77" activePane="bottomRight" state="frozen"/>
      <selection pane="bottomRight" activeCell="B80" sqref="B80"/>
    </sheetView>
  </sheetViews>
  <sheetFormatPr defaultColWidth="9.00390625" defaultRowHeight="14.25"/>
  <cols>
    <col min="1" max="1" width="6.125" style="80" customWidth="1"/>
    <col min="2" max="2" width="16.50390625" style="81" customWidth="1"/>
    <col min="3" max="3" width="10.00390625" style="82" customWidth="1"/>
    <col min="4" max="4" width="10.125" style="82" customWidth="1"/>
    <col min="5" max="5" width="6.375" style="82" customWidth="1"/>
    <col min="6" max="6" width="6.875" style="82" customWidth="1"/>
    <col min="7" max="7" width="11.125" style="82" customWidth="1"/>
    <col min="8" max="8" width="10.375" style="82" customWidth="1"/>
    <col min="9" max="10" width="9.875" style="82" customWidth="1"/>
    <col min="11" max="11" width="8.625" style="82" customWidth="1"/>
    <col min="12" max="12" width="9.125" style="82" customWidth="1"/>
    <col min="13" max="13" width="8.375" style="82" customWidth="1"/>
    <col min="14" max="14" width="7.00390625" style="80" customWidth="1"/>
    <col min="15" max="15" width="6.75390625" style="80" customWidth="1"/>
    <col min="16" max="16" width="0.5" style="80" hidden="1" customWidth="1"/>
    <col min="17" max="17" width="9.00390625" style="80" hidden="1" customWidth="1"/>
    <col min="18" max="18" width="9.00390625" style="80" customWidth="1"/>
    <col min="19" max="19" width="10.50390625" style="80" bestFit="1" customWidth="1"/>
    <col min="20" max="32" width="9.00390625" style="80" customWidth="1"/>
    <col min="33" max="224" width="8.75390625" style="80" customWidth="1"/>
    <col min="225" max="247" width="9.00390625" style="80" customWidth="1"/>
    <col min="248" max="16384" width="9.00390625" style="80" customWidth="1"/>
  </cols>
  <sheetData>
    <row r="1" spans="1:14" ht="32.25" customHeight="1">
      <c r="A1" s="83" t="s">
        <v>293</v>
      </c>
      <c r="B1" s="83"/>
      <c r="C1" s="83"/>
      <c r="D1" s="83"/>
      <c r="E1" s="83"/>
      <c r="F1" s="83"/>
      <c r="G1" s="83"/>
      <c r="H1" s="84"/>
      <c r="I1" s="83"/>
      <c r="J1" s="83"/>
      <c r="K1" s="83"/>
      <c r="L1" s="83"/>
      <c r="M1" s="83"/>
      <c r="N1" s="83"/>
    </row>
    <row r="2" spans="1:14" s="79" customFormat="1" ht="21" customHeight="1">
      <c r="A2" s="85" t="s">
        <v>294</v>
      </c>
      <c r="B2" s="86"/>
      <c r="C2" s="86"/>
      <c r="D2" s="87"/>
      <c r="E2" s="87"/>
      <c r="F2" s="87"/>
      <c r="G2" s="87"/>
      <c r="H2" s="87"/>
      <c r="I2" s="87"/>
      <c r="J2" s="87"/>
      <c r="K2" s="87"/>
      <c r="L2" s="101" t="s">
        <v>2</v>
      </c>
      <c r="M2" s="102"/>
      <c r="N2" s="103"/>
    </row>
    <row r="3" spans="1:15" s="79" customFormat="1" ht="22.5" customHeight="1">
      <c r="A3" s="24" t="s">
        <v>295</v>
      </c>
      <c r="B3" s="88" t="s">
        <v>296</v>
      </c>
      <c r="C3" s="89" t="s">
        <v>297</v>
      </c>
      <c r="D3" s="89"/>
      <c r="E3" s="89"/>
      <c r="F3" s="89"/>
      <c r="G3" s="89"/>
      <c r="H3" s="89"/>
      <c r="I3" s="89"/>
      <c r="J3" s="89"/>
      <c r="K3" s="89"/>
      <c r="L3" s="89"/>
      <c r="M3" s="89"/>
      <c r="N3" s="89"/>
      <c r="O3" s="89"/>
    </row>
    <row r="4" spans="1:15" s="79" customFormat="1" ht="19.5" customHeight="1">
      <c r="A4" s="24"/>
      <c r="B4" s="88"/>
      <c r="C4" s="90" t="s">
        <v>298</v>
      </c>
      <c r="D4" s="90"/>
      <c r="E4" s="90"/>
      <c r="F4" s="90"/>
      <c r="G4" s="89" t="s">
        <v>299</v>
      </c>
      <c r="H4" s="89"/>
      <c r="I4" s="89"/>
      <c r="J4" s="89"/>
      <c r="K4" s="89"/>
      <c r="L4" s="89"/>
      <c r="M4" s="89"/>
      <c r="N4" s="89"/>
      <c r="O4" s="89"/>
    </row>
    <row r="5" spans="1:15" s="79" customFormat="1" ht="24" customHeight="1">
      <c r="A5" s="24"/>
      <c r="B5" s="88"/>
      <c r="C5" s="90" t="s">
        <v>272</v>
      </c>
      <c r="D5" s="90" t="s">
        <v>300</v>
      </c>
      <c r="E5" s="90" t="s">
        <v>301</v>
      </c>
      <c r="F5" s="91" t="s">
        <v>302</v>
      </c>
      <c r="G5" s="90" t="s">
        <v>272</v>
      </c>
      <c r="H5" s="90" t="s">
        <v>303</v>
      </c>
      <c r="I5" s="90" t="s">
        <v>304</v>
      </c>
      <c r="J5" s="90"/>
      <c r="K5" s="90"/>
      <c r="L5" s="90"/>
      <c r="M5" s="90" t="s">
        <v>305</v>
      </c>
      <c r="N5" s="24" t="s">
        <v>301</v>
      </c>
      <c r="O5" s="24" t="s">
        <v>306</v>
      </c>
    </row>
    <row r="6" spans="1:15" s="79" customFormat="1" ht="18" customHeight="1">
      <c r="A6" s="24"/>
      <c r="B6" s="88"/>
      <c r="C6" s="90"/>
      <c r="D6" s="90"/>
      <c r="E6" s="90"/>
      <c r="F6" s="90"/>
      <c r="G6" s="90"/>
      <c r="H6" s="90"/>
      <c r="I6" s="90" t="s">
        <v>307</v>
      </c>
      <c r="J6" s="104" t="s">
        <v>308</v>
      </c>
      <c r="K6" s="104" t="s">
        <v>309</v>
      </c>
      <c r="L6" s="104" t="s">
        <v>310</v>
      </c>
      <c r="M6" s="90"/>
      <c r="N6" s="24"/>
      <c r="O6" s="24"/>
    </row>
    <row r="7" spans="1:15" s="79" customFormat="1" ht="25.5" customHeight="1">
      <c r="A7" s="24"/>
      <c r="B7" s="88"/>
      <c r="C7" s="90"/>
      <c r="D7" s="90"/>
      <c r="E7" s="90"/>
      <c r="F7" s="90"/>
      <c r="G7" s="90"/>
      <c r="H7" s="90"/>
      <c r="I7" s="90"/>
      <c r="J7" s="104"/>
      <c r="K7" s="104"/>
      <c r="L7" s="104"/>
      <c r="M7" s="90"/>
      <c r="N7" s="24"/>
      <c r="O7" s="24"/>
    </row>
    <row r="8" spans="1:15" s="79" customFormat="1" ht="24.75" customHeight="1">
      <c r="A8" s="92">
        <v>1</v>
      </c>
      <c r="B8" s="93" t="s">
        <v>311</v>
      </c>
      <c r="C8" s="94">
        <f>D8+E8+F8</f>
        <v>459.43</v>
      </c>
      <c r="D8" s="94">
        <v>459.43</v>
      </c>
      <c r="E8" s="94">
        <f>N8</f>
        <v>0</v>
      </c>
      <c r="F8" s="94"/>
      <c r="G8" s="94">
        <f>H8+I8+M8+N8+O8</f>
        <v>459.43</v>
      </c>
      <c r="H8" s="95">
        <v>266.19</v>
      </c>
      <c r="I8" s="105">
        <v>193.24</v>
      </c>
      <c r="J8" s="94">
        <v>8</v>
      </c>
      <c r="K8" s="94">
        <v>30</v>
      </c>
      <c r="L8" s="94">
        <f>I8-J8-K8</f>
        <v>155.24</v>
      </c>
      <c r="M8" s="94"/>
      <c r="N8" s="106"/>
      <c r="O8" s="107"/>
    </row>
    <row r="9" spans="1:15" s="79" customFormat="1" ht="24.75" customHeight="1">
      <c r="A9" s="92">
        <v>2</v>
      </c>
      <c r="B9" s="93" t="s">
        <v>312</v>
      </c>
      <c r="C9" s="94">
        <f aca="true" t="shared" si="0" ref="C9:C40">D9+E9+F9</f>
        <v>457.54</v>
      </c>
      <c r="D9" s="94">
        <v>457.54</v>
      </c>
      <c r="E9" s="94">
        <f aca="true" t="shared" si="1" ref="E9:E48">N9</f>
        <v>0</v>
      </c>
      <c r="F9" s="94"/>
      <c r="G9" s="94">
        <f aca="true" t="shared" si="2" ref="G9:G40">H9+I9+M9+N9+O9</f>
        <v>457.54</v>
      </c>
      <c r="H9" s="95">
        <v>256.17</v>
      </c>
      <c r="I9" s="105">
        <v>186.37</v>
      </c>
      <c r="J9" s="94">
        <v>8</v>
      </c>
      <c r="K9" s="94">
        <v>45</v>
      </c>
      <c r="L9" s="94">
        <f aca="true" t="shared" si="3" ref="L9:L72">I9-J9-K9</f>
        <v>133.37</v>
      </c>
      <c r="M9" s="94">
        <v>15</v>
      </c>
      <c r="N9" s="106"/>
      <c r="O9" s="107"/>
    </row>
    <row r="10" spans="1:15" s="79" customFormat="1" ht="24.75" customHeight="1">
      <c r="A10" s="92">
        <v>3</v>
      </c>
      <c r="B10" s="96" t="s">
        <v>313</v>
      </c>
      <c r="C10" s="94">
        <f t="shared" si="0"/>
        <v>686.51</v>
      </c>
      <c r="D10" s="94">
        <v>686.51</v>
      </c>
      <c r="E10" s="94">
        <f t="shared" si="1"/>
        <v>0</v>
      </c>
      <c r="F10" s="94"/>
      <c r="G10" s="94">
        <f t="shared" si="2"/>
        <v>686.51</v>
      </c>
      <c r="H10" s="97">
        <v>327.49</v>
      </c>
      <c r="I10" s="105">
        <v>259.02</v>
      </c>
      <c r="J10" s="94">
        <v>10</v>
      </c>
      <c r="K10" s="94">
        <v>30</v>
      </c>
      <c r="L10" s="94">
        <f t="shared" si="3"/>
        <v>219.01999999999998</v>
      </c>
      <c r="M10" s="94">
        <v>100</v>
      </c>
      <c r="N10" s="106"/>
      <c r="O10" s="107"/>
    </row>
    <row r="11" spans="1:15" s="79" customFormat="1" ht="24.75" customHeight="1">
      <c r="A11" s="92">
        <v>4</v>
      </c>
      <c r="B11" s="93" t="s">
        <v>314</v>
      </c>
      <c r="C11" s="94">
        <f t="shared" si="0"/>
        <v>294.638</v>
      </c>
      <c r="D11" s="94">
        <v>294.638</v>
      </c>
      <c r="E11" s="94">
        <f t="shared" si="1"/>
        <v>0</v>
      </c>
      <c r="F11" s="94"/>
      <c r="G11" s="94">
        <f t="shared" si="2"/>
        <v>294.63800000000003</v>
      </c>
      <c r="H11" s="95">
        <v>148.65</v>
      </c>
      <c r="I11" s="105">
        <v>127.988</v>
      </c>
      <c r="J11" s="94">
        <v>6</v>
      </c>
      <c r="K11" s="94">
        <v>30</v>
      </c>
      <c r="L11" s="94">
        <f t="shared" si="3"/>
        <v>91.988</v>
      </c>
      <c r="M11" s="94">
        <v>18</v>
      </c>
      <c r="N11" s="106"/>
      <c r="O11" s="107"/>
    </row>
    <row r="12" spans="1:15" s="79" customFormat="1" ht="24.75" customHeight="1">
      <c r="A12" s="92">
        <v>5</v>
      </c>
      <c r="B12" s="98" t="s">
        <v>315</v>
      </c>
      <c r="C12" s="94">
        <f t="shared" si="0"/>
        <v>705.53</v>
      </c>
      <c r="D12" s="94">
        <v>705.53</v>
      </c>
      <c r="E12" s="94">
        <f t="shared" si="1"/>
        <v>0</v>
      </c>
      <c r="F12" s="94"/>
      <c r="G12" s="94">
        <f t="shared" si="2"/>
        <v>705.53</v>
      </c>
      <c r="H12" s="95">
        <v>431.27</v>
      </c>
      <c r="I12" s="105">
        <v>274.26</v>
      </c>
      <c r="J12" s="94">
        <v>8</v>
      </c>
      <c r="K12" s="94">
        <v>8</v>
      </c>
      <c r="L12" s="94">
        <f t="shared" si="3"/>
        <v>258.26</v>
      </c>
      <c r="M12" s="94"/>
      <c r="N12" s="106"/>
      <c r="O12" s="107"/>
    </row>
    <row r="13" spans="1:15" s="79" customFormat="1" ht="24.75" customHeight="1">
      <c r="A13" s="92">
        <v>6</v>
      </c>
      <c r="B13" s="93" t="s">
        <v>316</v>
      </c>
      <c r="C13" s="94">
        <f t="shared" si="0"/>
        <v>67.2</v>
      </c>
      <c r="D13" s="94">
        <v>67.2</v>
      </c>
      <c r="E13" s="94">
        <f t="shared" si="1"/>
        <v>0</v>
      </c>
      <c r="F13" s="94"/>
      <c r="G13" s="94">
        <f t="shared" si="2"/>
        <v>67.2</v>
      </c>
      <c r="H13" s="95">
        <v>30.32</v>
      </c>
      <c r="I13" s="105">
        <v>21.88</v>
      </c>
      <c r="J13" s="94">
        <v>0.5</v>
      </c>
      <c r="K13" s="94">
        <v>2</v>
      </c>
      <c r="L13" s="94">
        <f t="shared" si="3"/>
        <v>19.38</v>
      </c>
      <c r="M13" s="94">
        <v>15</v>
      </c>
      <c r="N13" s="106"/>
      <c r="O13" s="107"/>
    </row>
    <row r="14" spans="1:15" s="79" customFormat="1" ht="24.75" customHeight="1">
      <c r="A14" s="92">
        <v>7</v>
      </c>
      <c r="B14" s="93" t="s">
        <v>317</v>
      </c>
      <c r="C14" s="94">
        <f t="shared" si="0"/>
        <v>299.7</v>
      </c>
      <c r="D14" s="94">
        <v>299.7</v>
      </c>
      <c r="E14" s="94">
        <f t="shared" si="1"/>
        <v>0</v>
      </c>
      <c r="F14" s="94"/>
      <c r="G14" s="94">
        <f t="shared" si="2"/>
        <v>299.7</v>
      </c>
      <c r="H14" s="95">
        <v>154.04</v>
      </c>
      <c r="I14" s="105">
        <v>135.66</v>
      </c>
      <c r="J14" s="94">
        <v>7</v>
      </c>
      <c r="K14" s="94">
        <v>8</v>
      </c>
      <c r="L14" s="94">
        <f t="shared" si="3"/>
        <v>120.66</v>
      </c>
      <c r="M14" s="94">
        <v>10</v>
      </c>
      <c r="N14" s="108"/>
      <c r="O14" s="107"/>
    </row>
    <row r="15" spans="1:15" s="79" customFormat="1" ht="24.75" customHeight="1">
      <c r="A15" s="92">
        <v>8</v>
      </c>
      <c r="B15" s="93" t="s">
        <v>318</v>
      </c>
      <c r="C15" s="94">
        <f t="shared" si="0"/>
        <v>377.02</v>
      </c>
      <c r="D15" s="94">
        <v>377.02</v>
      </c>
      <c r="E15" s="94">
        <f t="shared" si="1"/>
        <v>0</v>
      </c>
      <c r="F15" s="94"/>
      <c r="G15" s="94">
        <f t="shared" si="2"/>
        <v>377.02</v>
      </c>
      <c r="H15" s="97">
        <v>109.18</v>
      </c>
      <c r="I15" s="105">
        <v>63.84</v>
      </c>
      <c r="J15" s="94">
        <v>7</v>
      </c>
      <c r="K15" s="94">
        <v>8</v>
      </c>
      <c r="L15" s="94">
        <f t="shared" si="3"/>
        <v>48.84</v>
      </c>
      <c r="M15" s="94">
        <v>204</v>
      </c>
      <c r="N15" s="106"/>
      <c r="O15" s="107"/>
    </row>
    <row r="16" spans="1:15" s="79" customFormat="1" ht="24.75" customHeight="1">
      <c r="A16" s="92">
        <v>9</v>
      </c>
      <c r="B16" s="93" t="s">
        <v>319</v>
      </c>
      <c r="C16" s="94">
        <f t="shared" si="0"/>
        <v>207.78</v>
      </c>
      <c r="D16" s="94">
        <v>207.78</v>
      </c>
      <c r="E16" s="94">
        <f t="shared" si="1"/>
        <v>0</v>
      </c>
      <c r="F16" s="94"/>
      <c r="G16" s="94">
        <f t="shared" si="2"/>
        <v>207.78</v>
      </c>
      <c r="H16" s="95">
        <v>99.76</v>
      </c>
      <c r="I16" s="105">
        <v>59.02</v>
      </c>
      <c r="J16" s="94">
        <v>6</v>
      </c>
      <c r="K16" s="94">
        <v>8</v>
      </c>
      <c r="L16" s="94">
        <f t="shared" si="3"/>
        <v>45.019999999999996</v>
      </c>
      <c r="M16" s="94">
        <v>49</v>
      </c>
      <c r="N16" s="106"/>
      <c r="O16" s="107"/>
    </row>
    <row r="17" spans="1:15" s="79" customFormat="1" ht="24.75" customHeight="1">
      <c r="A17" s="92">
        <v>10</v>
      </c>
      <c r="B17" s="93" t="s">
        <v>320</v>
      </c>
      <c r="C17" s="94">
        <f t="shared" si="0"/>
        <v>100.81</v>
      </c>
      <c r="D17" s="94">
        <v>100.81</v>
      </c>
      <c r="E17" s="94">
        <f t="shared" si="1"/>
        <v>0</v>
      </c>
      <c r="F17" s="94"/>
      <c r="G17" s="94">
        <f t="shared" si="2"/>
        <v>100.81</v>
      </c>
      <c r="H17" s="95">
        <v>66.71</v>
      </c>
      <c r="I17" s="105">
        <v>34.1</v>
      </c>
      <c r="J17" s="94">
        <v>0.5</v>
      </c>
      <c r="K17" s="94">
        <v>1</v>
      </c>
      <c r="L17" s="94">
        <f t="shared" si="3"/>
        <v>32.6</v>
      </c>
      <c r="M17" s="94"/>
      <c r="N17" s="106"/>
      <c r="O17" s="107"/>
    </row>
    <row r="18" spans="1:15" s="79" customFormat="1" ht="24.75" customHeight="1">
      <c r="A18" s="92">
        <v>11</v>
      </c>
      <c r="B18" s="93" t="s">
        <v>321</v>
      </c>
      <c r="C18" s="94">
        <f t="shared" si="0"/>
        <v>129.54</v>
      </c>
      <c r="D18" s="94">
        <v>129.54</v>
      </c>
      <c r="E18" s="94">
        <f t="shared" si="1"/>
        <v>0</v>
      </c>
      <c r="F18" s="94"/>
      <c r="G18" s="94">
        <f t="shared" si="2"/>
        <v>129.54000000000002</v>
      </c>
      <c r="H18" s="95">
        <v>92.92</v>
      </c>
      <c r="I18" s="105">
        <v>36.620000000000005</v>
      </c>
      <c r="J18" s="94">
        <v>1.5</v>
      </c>
      <c r="K18" s="94">
        <v>0.5</v>
      </c>
      <c r="L18" s="94">
        <f t="shared" si="3"/>
        <v>34.620000000000005</v>
      </c>
      <c r="M18" s="94"/>
      <c r="N18" s="106"/>
      <c r="O18" s="107"/>
    </row>
    <row r="19" spans="1:15" s="79" customFormat="1" ht="24.75" customHeight="1">
      <c r="A19" s="92">
        <v>12</v>
      </c>
      <c r="B19" s="93" t="s">
        <v>322</v>
      </c>
      <c r="C19" s="94">
        <f t="shared" si="0"/>
        <v>4279.15</v>
      </c>
      <c r="D19" s="94">
        <v>4279.15</v>
      </c>
      <c r="E19" s="94">
        <f t="shared" si="1"/>
        <v>0</v>
      </c>
      <c r="F19" s="94"/>
      <c r="G19" s="94">
        <f t="shared" si="2"/>
        <v>4279.15</v>
      </c>
      <c r="H19" s="95">
        <v>51.37</v>
      </c>
      <c r="I19" s="105">
        <v>27.78</v>
      </c>
      <c r="J19" s="94">
        <v>6</v>
      </c>
      <c r="K19" s="94">
        <v>2</v>
      </c>
      <c r="L19" s="94">
        <f t="shared" si="3"/>
        <v>19.78</v>
      </c>
      <c r="M19" s="94">
        <v>4200</v>
      </c>
      <c r="N19" s="106"/>
      <c r="O19" s="107"/>
    </row>
    <row r="20" spans="1:15" s="79" customFormat="1" ht="24.75" customHeight="1">
      <c r="A20" s="92">
        <v>13</v>
      </c>
      <c r="B20" s="98" t="s">
        <v>323</v>
      </c>
      <c r="C20" s="94">
        <f t="shared" si="0"/>
        <v>35.39</v>
      </c>
      <c r="D20" s="94">
        <v>35.39</v>
      </c>
      <c r="E20" s="94">
        <f t="shared" si="1"/>
        <v>0</v>
      </c>
      <c r="F20" s="94"/>
      <c r="G20" s="94">
        <f t="shared" si="2"/>
        <v>35.39</v>
      </c>
      <c r="H20" s="95">
        <v>17.27</v>
      </c>
      <c r="I20" s="105">
        <v>18.12</v>
      </c>
      <c r="J20" s="94">
        <v>0.5</v>
      </c>
      <c r="K20" s="94">
        <v>0.5</v>
      </c>
      <c r="L20" s="94">
        <f t="shared" si="3"/>
        <v>17.12</v>
      </c>
      <c r="M20" s="94"/>
      <c r="N20" s="106"/>
      <c r="O20" s="107"/>
    </row>
    <row r="21" spans="1:15" s="79" customFormat="1" ht="24.75" customHeight="1">
      <c r="A21" s="92">
        <v>14</v>
      </c>
      <c r="B21" s="93" t="s">
        <v>324</v>
      </c>
      <c r="C21" s="94">
        <f t="shared" si="0"/>
        <v>86.76</v>
      </c>
      <c r="D21" s="94">
        <v>86.76</v>
      </c>
      <c r="E21" s="94">
        <f t="shared" si="1"/>
        <v>0</v>
      </c>
      <c r="F21" s="94"/>
      <c r="G21" s="94">
        <f t="shared" si="2"/>
        <v>86.76</v>
      </c>
      <c r="H21" s="95">
        <v>63</v>
      </c>
      <c r="I21" s="105">
        <v>15</v>
      </c>
      <c r="J21" s="94">
        <v>0.8</v>
      </c>
      <c r="K21" s="94">
        <v>1.5</v>
      </c>
      <c r="L21" s="94">
        <f t="shared" si="3"/>
        <v>12.7</v>
      </c>
      <c r="M21" s="94">
        <v>8.76</v>
      </c>
      <c r="N21" s="106"/>
      <c r="O21" s="107"/>
    </row>
    <row r="22" spans="1:15" s="79" customFormat="1" ht="24.75" customHeight="1">
      <c r="A22" s="92">
        <v>15</v>
      </c>
      <c r="B22" s="93" t="s">
        <v>325</v>
      </c>
      <c r="C22" s="94">
        <f t="shared" si="0"/>
        <v>314.53</v>
      </c>
      <c r="D22" s="94">
        <v>314.53</v>
      </c>
      <c r="E22" s="94">
        <f t="shared" si="1"/>
        <v>0</v>
      </c>
      <c r="F22" s="94"/>
      <c r="G22" s="94">
        <f t="shared" si="2"/>
        <v>314.53</v>
      </c>
      <c r="H22" s="95">
        <v>65.57</v>
      </c>
      <c r="I22" s="105">
        <v>48.96</v>
      </c>
      <c r="J22" s="94">
        <v>0.4</v>
      </c>
      <c r="K22" s="94">
        <v>0.5</v>
      </c>
      <c r="L22" s="94">
        <f t="shared" si="3"/>
        <v>48.06</v>
      </c>
      <c r="M22" s="94">
        <v>200</v>
      </c>
      <c r="N22" s="106"/>
      <c r="O22" s="107"/>
    </row>
    <row r="23" spans="1:15" s="79" customFormat="1" ht="24.75" customHeight="1">
      <c r="A23" s="92">
        <v>16</v>
      </c>
      <c r="B23" s="96" t="s">
        <v>326</v>
      </c>
      <c r="C23" s="94">
        <f t="shared" si="0"/>
        <v>337.65</v>
      </c>
      <c r="D23" s="94">
        <v>337.65</v>
      </c>
      <c r="E23" s="94">
        <f t="shared" si="1"/>
        <v>0</v>
      </c>
      <c r="F23" s="94"/>
      <c r="G23" s="94">
        <f t="shared" si="2"/>
        <v>337.65</v>
      </c>
      <c r="H23" s="95">
        <v>100.25</v>
      </c>
      <c r="I23" s="105">
        <v>37.4</v>
      </c>
      <c r="J23" s="94">
        <v>0.8</v>
      </c>
      <c r="K23" s="94">
        <v>0.5</v>
      </c>
      <c r="L23" s="94">
        <f t="shared" si="3"/>
        <v>36.1</v>
      </c>
      <c r="M23" s="94">
        <v>200</v>
      </c>
      <c r="N23" s="106"/>
      <c r="O23" s="107"/>
    </row>
    <row r="24" spans="1:15" s="79" customFormat="1" ht="24.75" customHeight="1">
      <c r="A24" s="92">
        <v>17</v>
      </c>
      <c r="B24" s="93" t="s">
        <v>327</v>
      </c>
      <c r="C24" s="94">
        <f t="shared" si="0"/>
        <v>137.94</v>
      </c>
      <c r="D24" s="94">
        <v>137.94</v>
      </c>
      <c r="E24" s="94">
        <f t="shared" si="1"/>
        <v>0</v>
      </c>
      <c r="F24" s="94"/>
      <c r="G24" s="94">
        <f t="shared" si="2"/>
        <v>137.94</v>
      </c>
      <c r="H24" s="95">
        <v>41.52</v>
      </c>
      <c r="I24" s="105">
        <v>11.42</v>
      </c>
      <c r="J24" s="94">
        <v>0.8</v>
      </c>
      <c r="K24" s="94">
        <v>1.8</v>
      </c>
      <c r="L24" s="94">
        <f t="shared" si="3"/>
        <v>8.819999999999999</v>
      </c>
      <c r="M24" s="94">
        <v>85</v>
      </c>
      <c r="N24" s="106"/>
      <c r="O24" s="107"/>
    </row>
    <row r="25" spans="1:15" s="79" customFormat="1" ht="24.75" customHeight="1">
      <c r="A25" s="92">
        <v>18</v>
      </c>
      <c r="B25" s="93" t="s">
        <v>328</v>
      </c>
      <c r="C25" s="94">
        <f t="shared" si="0"/>
        <v>46.73</v>
      </c>
      <c r="D25" s="94">
        <v>46.73</v>
      </c>
      <c r="E25" s="94">
        <f t="shared" si="1"/>
        <v>0</v>
      </c>
      <c r="F25" s="94"/>
      <c r="G25" s="94">
        <f t="shared" si="2"/>
        <v>46.73</v>
      </c>
      <c r="H25" s="95">
        <v>12.75</v>
      </c>
      <c r="I25" s="105">
        <v>14.44</v>
      </c>
      <c r="J25" s="94">
        <v>0.8</v>
      </c>
      <c r="K25" s="94">
        <v>0.5</v>
      </c>
      <c r="L25" s="94">
        <f t="shared" si="3"/>
        <v>13.139999999999999</v>
      </c>
      <c r="M25" s="94">
        <v>19.54</v>
      </c>
      <c r="N25" s="106"/>
      <c r="O25" s="107"/>
    </row>
    <row r="26" spans="1:15" s="79" customFormat="1" ht="24.75" customHeight="1">
      <c r="A26" s="92">
        <v>19</v>
      </c>
      <c r="B26" s="93" t="s">
        <v>329</v>
      </c>
      <c r="C26" s="94">
        <f t="shared" si="0"/>
        <v>58.26</v>
      </c>
      <c r="D26" s="94">
        <v>58.26</v>
      </c>
      <c r="E26" s="94">
        <f t="shared" si="1"/>
        <v>0</v>
      </c>
      <c r="F26" s="94"/>
      <c r="G26" s="94">
        <f t="shared" si="2"/>
        <v>58.260000000000005</v>
      </c>
      <c r="H26" s="95">
        <v>29.64</v>
      </c>
      <c r="I26" s="105">
        <v>18.62</v>
      </c>
      <c r="J26" s="94">
        <v>1</v>
      </c>
      <c r="K26" s="94">
        <v>0.5</v>
      </c>
      <c r="L26" s="94">
        <f t="shared" si="3"/>
        <v>17.12</v>
      </c>
      <c r="M26" s="94">
        <v>10</v>
      </c>
      <c r="N26" s="106"/>
      <c r="O26" s="107"/>
    </row>
    <row r="27" spans="1:15" s="79" customFormat="1" ht="24.75" customHeight="1">
      <c r="A27" s="92">
        <v>20</v>
      </c>
      <c r="B27" s="93" t="s">
        <v>330</v>
      </c>
      <c r="C27" s="94">
        <f t="shared" si="0"/>
        <v>50.17</v>
      </c>
      <c r="D27" s="94">
        <v>50.17</v>
      </c>
      <c r="E27" s="94">
        <f t="shared" si="1"/>
        <v>0</v>
      </c>
      <c r="F27" s="94"/>
      <c r="G27" s="94">
        <f t="shared" si="2"/>
        <v>50.17</v>
      </c>
      <c r="H27" s="95">
        <v>32.77</v>
      </c>
      <c r="I27" s="105">
        <v>17.4</v>
      </c>
      <c r="J27" s="94">
        <v>0.5</v>
      </c>
      <c r="K27" s="94">
        <v>0.5</v>
      </c>
      <c r="L27" s="94">
        <f t="shared" si="3"/>
        <v>16.4</v>
      </c>
      <c r="M27" s="94"/>
      <c r="N27" s="106"/>
      <c r="O27" s="107"/>
    </row>
    <row r="28" spans="1:15" s="79" customFormat="1" ht="24.75" customHeight="1">
      <c r="A28" s="92">
        <v>21</v>
      </c>
      <c r="B28" s="93" t="s">
        <v>331</v>
      </c>
      <c r="C28" s="94">
        <f t="shared" si="0"/>
        <v>219.1</v>
      </c>
      <c r="D28" s="94">
        <v>219.1</v>
      </c>
      <c r="E28" s="94">
        <f t="shared" si="1"/>
        <v>0</v>
      </c>
      <c r="F28" s="94"/>
      <c r="G28" s="94">
        <f t="shared" si="2"/>
        <v>219.10000000000002</v>
      </c>
      <c r="H28" s="99">
        <v>93.48</v>
      </c>
      <c r="I28" s="105">
        <v>25.62</v>
      </c>
      <c r="J28" s="94">
        <v>0.5</v>
      </c>
      <c r="K28" s="94">
        <v>0.5</v>
      </c>
      <c r="L28" s="94">
        <f t="shared" si="3"/>
        <v>24.62</v>
      </c>
      <c r="M28" s="94">
        <v>100</v>
      </c>
      <c r="N28" s="106"/>
      <c r="O28" s="107"/>
    </row>
    <row r="29" spans="1:15" s="79" customFormat="1" ht="24.75" customHeight="1">
      <c r="A29" s="92">
        <v>22</v>
      </c>
      <c r="B29" s="93" t="s">
        <v>332</v>
      </c>
      <c r="C29" s="94">
        <f t="shared" si="0"/>
        <v>488.5049</v>
      </c>
      <c r="D29" s="94">
        <v>488.5049</v>
      </c>
      <c r="E29" s="94">
        <f t="shared" si="1"/>
        <v>0</v>
      </c>
      <c r="F29" s="94"/>
      <c r="G29" s="94">
        <f t="shared" si="2"/>
        <v>488.50489999999996</v>
      </c>
      <c r="H29" s="95">
        <v>269.96</v>
      </c>
      <c r="I29" s="105">
        <v>83.2</v>
      </c>
      <c r="J29" s="94">
        <v>6</v>
      </c>
      <c r="K29" s="94">
        <v>5</v>
      </c>
      <c r="L29" s="94">
        <f t="shared" si="3"/>
        <v>72.2</v>
      </c>
      <c r="M29" s="94">
        <v>135.3449</v>
      </c>
      <c r="N29" s="106"/>
      <c r="O29" s="107"/>
    </row>
    <row r="30" spans="1:15" s="79" customFormat="1" ht="24.75" customHeight="1">
      <c r="A30" s="92">
        <v>23</v>
      </c>
      <c r="B30" s="100" t="s">
        <v>333</v>
      </c>
      <c r="C30" s="94">
        <f t="shared" si="0"/>
        <v>20</v>
      </c>
      <c r="D30" s="94">
        <v>20</v>
      </c>
      <c r="E30" s="94">
        <f t="shared" si="1"/>
        <v>0</v>
      </c>
      <c r="F30" s="94"/>
      <c r="G30" s="94">
        <f t="shared" si="2"/>
        <v>20</v>
      </c>
      <c r="H30" s="95"/>
      <c r="I30" s="105">
        <v>20</v>
      </c>
      <c r="J30" s="94"/>
      <c r="K30" s="94"/>
      <c r="L30" s="94">
        <f t="shared" si="3"/>
        <v>20</v>
      </c>
      <c r="M30" s="94">
        <v>0</v>
      </c>
      <c r="N30" s="106"/>
      <c r="O30" s="107"/>
    </row>
    <row r="31" spans="1:15" s="79" customFormat="1" ht="24.75" customHeight="1">
      <c r="A31" s="92">
        <v>24</v>
      </c>
      <c r="B31" s="93" t="s">
        <v>334</v>
      </c>
      <c r="C31" s="94">
        <f t="shared" si="0"/>
        <v>24448.11</v>
      </c>
      <c r="D31" s="94">
        <v>24448.11</v>
      </c>
      <c r="E31" s="94">
        <f t="shared" si="1"/>
        <v>0</v>
      </c>
      <c r="F31" s="94"/>
      <c r="G31" s="94">
        <f t="shared" si="2"/>
        <v>24448.11</v>
      </c>
      <c r="H31" s="95">
        <v>17714.24</v>
      </c>
      <c r="I31" s="109">
        <v>135.72</v>
      </c>
      <c r="J31" s="94">
        <v>15</v>
      </c>
      <c r="K31" s="94">
        <v>10</v>
      </c>
      <c r="L31" s="94">
        <f t="shared" si="3"/>
        <v>110.72</v>
      </c>
      <c r="M31" s="94">
        <v>6598.15</v>
      </c>
      <c r="N31" s="106"/>
      <c r="O31" s="107"/>
    </row>
    <row r="32" spans="1:15" s="79" customFormat="1" ht="24.75" customHeight="1">
      <c r="A32" s="92">
        <v>25</v>
      </c>
      <c r="B32" s="93" t="s">
        <v>335</v>
      </c>
      <c r="C32" s="94">
        <f t="shared" si="0"/>
        <v>369.07</v>
      </c>
      <c r="D32" s="94">
        <v>369.07</v>
      </c>
      <c r="E32" s="94">
        <f t="shared" si="1"/>
        <v>0</v>
      </c>
      <c r="F32" s="94"/>
      <c r="G32" s="94">
        <f t="shared" si="2"/>
        <v>369.07</v>
      </c>
      <c r="H32" s="95">
        <v>169.23</v>
      </c>
      <c r="I32" s="105">
        <v>41.9</v>
      </c>
      <c r="J32" s="94">
        <v>3</v>
      </c>
      <c r="K32" s="94">
        <v>2</v>
      </c>
      <c r="L32" s="94">
        <f t="shared" si="3"/>
        <v>36.9</v>
      </c>
      <c r="M32" s="94">
        <v>157.94</v>
      </c>
      <c r="N32" s="106"/>
      <c r="O32" s="107"/>
    </row>
    <row r="33" spans="1:15" s="79" customFormat="1" ht="24.75" customHeight="1">
      <c r="A33" s="92">
        <v>26</v>
      </c>
      <c r="B33" s="93" t="s">
        <v>336</v>
      </c>
      <c r="C33" s="94">
        <f t="shared" si="0"/>
        <v>126.12</v>
      </c>
      <c r="D33" s="94">
        <v>126.12</v>
      </c>
      <c r="E33" s="94">
        <f t="shared" si="1"/>
        <v>0</v>
      </c>
      <c r="F33" s="94"/>
      <c r="G33" s="94">
        <f t="shared" si="2"/>
        <v>126.12</v>
      </c>
      <c r="H33" s="95">
        <v>74.12</v>
      </c>
      <c r="I33" s="105">
        <v>29</v>
      </c>
      <c r="J33" s="94">
        <v>3</v>
      </c>
      <c r="K33" s="94">
        <v>2</v>
      </c>
      <c r="L33" s="94">
        <f t="shared" si="3"/>
        <v>24</v>
      </c>
      <c r="M33" s="94">
        <v>23</v>
      </c>
      <c r="N33" s="108"/>
      <c r="O33" s="107"/>
    </row>
    <row r="34" spans="1:15" s="79" customFormat="1" ht="24.75" customHeight="1">
      <c r="A34" s="92">
        <v>27</v>
      </c>
      <c r="B34" s="93" t="s">
        <v>337</v>
      </c>
      <c r="C34" s="94">
        <f t="shared" si="0"/>
        <v>4713.51</v>
      </c>
      <c r="D34" s="94">
        <v>4713.51</v>
      </c>
      <c r="E34" s="94">
        <f t="shared" si="1"/>
        <v>0</v>
      </c>
      <c r="F34" s="94"/>
      <c r="G34" s="94">
        <f t="shared" si="2"/>
        <v>4713.51</v>
      </c>
      <c r="H34" s="97">
        <v>2498.13</v>
      </c>
      <c r="I34" s="105">
        <v>850.78</v>
      </c>
      <c r="J34" s="94">
        <v>11</v>
      </c>
      <c r="K34" s="94">
        <v>5</v>
      </c>
      <c r="L34" s="94">
        <f t="shared" si="3"/>
        <v>834.78</v>
      </c>
      <c r="M34" s="94">
        <v>1364.6</v>
      </c>
      <c r="N34" s="106"/>
      <c r="O34" s="107"/>
    </row>
    <row r="35" spans="1:15" s="79" customFormat="1" ht="24.75" customHeight="1">
      <c r="A35" s="92">
        <v>28</v>
      </c>
      <c r="B35" s="93" t="s">
        <v>338</v>
      </c>
      <c r="C35" s="94">
        <f t="shared" si="0"/>
        <v>343.43</v>
      </c>
      <c r="D35" s="94">
        <v>343.43</v>
      </c>
      <c r="E35" s="94">
        <f t="shared" si="1"/>
        <v>0</v>
      </c>
      <c r="F35" s="94"/>
      <c r="G35" s="94">
        <f t="shared" si="2"/>
        <v>343.43</v>
      </c>
      <c r="H35" s="95">
        <v>173.99</v>
      </c>
      <c r="I35" s="105">
        <v>119.44</v>
      </c>
      <c r="J35" s="94">
        <v>3</v>
      </c>
      <c r="K35" s="94">
        <v>2</v>
      </c>
      <c r="L35" s="94">
        <f t="shared" si="3"/>
        <v>114.44</v>
      </c>
      <c r="M35" s="94">
        <v>50</v>
      </c>
      <c r="N35" s="106"/>
      <c r="O35" s="107"/>
    </row>
    <row r="36" spans="1:15" s="79" customFormat="1" ht="24.75" customHeight="1">
      <c r="A36" s="92">
        <v>29</v>
      </c>
      <c r="B36" s="93" t="s">
        <v>339</v>
      </c>
      <c r="C36" s="94">
        <f t="shared" si="0"/>
        <v>311.6</v>
      </c>
      <c r="D36" s="94">
        <v>311.6</v>
      </c>
      <c r="E36" s="94">
        <f t="shared" si="1"/>
        <v>0</v>
      </c>
      <c r="F36" s="94"/>
      <c r="G36" s="94">
        <f t="shared" si="2"/>
        <v>311.6</v>
      </c>
      <c r="H36" s="95">
        <v>0</v>
      </c>
      <c r="I36" s="110"/>
      <c r="J36" s="94"/>
      <c r="K36" s="94"/>
      <c r="L36" s="94">
        <f t="shared" si="3"/>
        <v>0</v>
      </c>
      <c r="M36" s="94">
        <v>311.6</v>
      </c>
      <c r="N36" s="106"/>
      <c r="O36" s="107"/>
    </row>
    <row r="37" spans="1:15" s="79" customFormat="1" ht="24.75" customHeight="1">
      <c r="A37" s="92">
        <v>30</v>
      </c>
      <c r="B37" s="93" t="s">
        <v>340</v>
      </c>
      <c r="C37" s="94">
        <f t="shared" si="0"/>
        <v>2364.58</v>
      </c>
      <c r="D37" s="94">
        <v>2364.58</v>
      </c>
      <c r="E37" s="94">
        <f t="shared" si="1"/>
        <v>0</v>
      </c>
      <c r="F37" s="94"/>
      <c r="G37" s="94">
        <f t="shared" si="2"/>
        <v>2364.58</v>
      </c>
      <c r="H37" s="95">
        <v>209.14</v>
      </c>
      <c r="I37" s="111">
        <v>56.14</v>
      </c>
      <c r="J37" s="94">
        <v>4</v>
      </c>
      <c r="K37" s="94">
        <v>2</v>
      </c>
      <c r="L37" s="94">
        <f t="shared" si="3"/>
        <v>50.14</v>
      </c>
      <c r="M37" s="94">
        <v>2099.3</v>
      </c>
      <c r="N37" s="106"/>
      <c r="O37" s="107"/>
    </row>
    <row r="38" spans="1:15" s="79" customFormat="1" ht="24.75" customHeight="1">
      <c r="A38" s="92">
        <v>31</v>
      </c>
      <c r="B38" s="93" t="s">
        <v>341</v>
      </c>
      <c r="C38" s="94">
        <f t="shared" si="0"/>
        <v>244.99</v>
      </c>
      <c r="D38" s="94">
        <v>244.99</v>
      </c>
      <c r="E38" s="94">
        <f t="shared" si="1"/>
        <v>0</v>
      </c>
      <c r="F38" s="94"/>
      <c r="G38" s="94">
        <f t="shared" si="2"/>
        <v>244.98999999999998</v>
      </c>
      <c r="H38" s="95">
        <v>165.89</v>
      </c>
      <c r="I38" s="105">
        <v>79.1</v>
      </c>
      <c r="J38" s="94">
        <v>3</v>
      </c>
      <c r="K38" s="94">
        <v>2</v>
      </c>
      <c r="L38" s="94">
        <f t="shared" si="3"/>
        <v>74.1</v>
      </c>
      <c r="M38" s="94"/>
      <c r="N38" s="106"/>
      <c r="O38" s="107"/>
    </row>
    <row r="39" spans="1:15" s="79" customFormat="1" ht="24.75" customHeight="1">
      <c r="A39" s="92">
        <v>32</v>
      </c>
      <c r="B39" s="93" t="s">
        <v>342</v>
      </c>
      <c r="C39" s="94">
        <f t="shared" si="0"/>
        <v>331.62</v>
      </c>
      <c r="D39" s="94">
        <v>331.62</v>
      </c>
      <c r="E39" s="94">
        <f t="shared" si="1"/>
        <v>0</v>
      </c>
      <c r="F39" s="94"/>
      <c r="G39" s="94">
        <f t="shared" si="2"/>
        <v>331.62</v>
      </c>
      <c r="H39" s="95">
        <v>130.86</v>
      </c>
      <c r="I39" s="105">
        <v>50.76</v>
      </c>
      <c r="J39" s="94">
        <v>5</v>
      </c>
      <c r="K39" s="94">
        <v>3</v>
      </c>
      <c r="L39" s="94">
        <f t="shared" si="3"/>
        <v>42.76</v>
      </c>
      <c r="M39" s="94">
        <v>150</v>
      </c>
      <c r="N39" s="106"/>
      <c r="O39" s="107"/>
    </row>
    <row r="40" spans="1:15" s="79" customFormat="1" ht="24.75" customHeight="1">
      <c r="A40" s="92">
        <v>33</v>
      </c>
      <c r="B40" s="93" t="s">
        <v>343</v>
      </c>
      <c r="C40" s="94">
        <f t="shared" si="0"/>
        <v>923.21</v>
      </c>
      <c r="D40" s="94">
        <v>923.21</v>
      </c>
      <c r="E40" s="94">
        <f t="shared" si="1"/>
        <v>0</v>
      </c>
      <c r="F40" s="94"/>
      <c r="G40" s="94">
        <f t="shared" si="2"/>
        <v>923.21</v>
      </c>
      <c r="H40" s="95">
        <v>558.13</v>
      </c>
      <c r="I40" s="105">
        <v>135.07999999999998</v>
      </c>
      <c r="J40" s="94">
        <v>6</v>
      </c>
      <c r="K40" s="94">
        <v>5</v>
      </c>
      <c r="L40" s="94">
        <f t="shared" si="3"/>
        <v>124.07999999999998</v>
      </c>
      <c r="M40" s="94">
        <v>230</v>
      </c>
      <c r="N40" s="106"/>
      <c r="O40" s="107"/>
    </row>
    <row r="41" spans="1:15" s="79" customFormat="1" ht="24.75" customHeight="1">
      <c r="A41" s="92">
        <v>34</v>
      </c>
      <c r="B41" s="93" t="s">
        <v>344</v>
      </c>
      <c r="C41" s="94">
        <f aca="true" t="shared" si="4" ref="C41:C76">D41+E41+F41</f>
        <v>2070.27</v>
      </c>
      <c r="D41" s="94">
        <v>2070.27</v>
      </c>
      <c r="E41" s="94">
        <f t="shared" si="1"/>
        <v>0</v>
      </c>
      <c r="F41" s="94"/>
      <c r="G41" s="94">
        <f aca="true" t="shared" si="5" ref="G41:G76">H41+I41+M41+N41+O41</f>
        <v>2070.27</v>
      </c>
      <c r="H41" s="95">
        <v>378.6</v>
      </c>
      <c r="I41" s="111">
        <v>94.72</v>
      </c>
      <c r="J41" s="94">
        <v>6</v>
      </c>
      <c r="K41" s="94">
        <v>5</v>
      </c>
      <c r="L41" s="94">
        <f t="shared" si="3"/>
        <v>83.72</v>
      </c>
      <c r="M41" s="94">
        <v>1596.95</v>
      </c>
      <c r="N41" s="106"/>
      <c r="O41" s="107"/>
    </row>
    <row r="42" spans="1:15" s="79" customFormat="1" ht="24.75" customHeight="1">
      <c r="A42" s="92">
        <v>35</v>
      </c>
      <c r="B42" s="93" t="s">
        <v>345</v>
      </c>
      <c r="C42" s="94">
        <f t="shared" si="4"/>
        <v>590.09</v>
      </c>
      <c r="D42" s="94">
        <v>590.09</v>
      </c>
      <c r="E42" s="94">
        <f t="shared" si="1"/>
        <v>0</v>
      </c>
      <c r="F42" s="94"/>
      <c r="G42" s="94">
        <f t="shared" si="5"/>
        <v>590.09</v>
      </c>
      <c r="H42" s="95">
        <v>429.67</v>
      </c>
      <c r="I42" s="111">
        <v>160.42000000000002</v>
      </c>
      <c r="J42" s="94">
        <v>6</v>
      </c>
      <c r="K42" s="94">
        <v>5</v>
      </c>
      <c r="L42" s="94">
        <f t="shared" si="3"/>
        <v>149.42000000000002</v>
      </c>
      <c r="M42" s="94">
        <v>0</v>
      </c>
      <c r="N42" s="106"/>
      <c r="O42" s="107"/>
    </row>
    <row r="43" spans="1:15" s="79" customFormat="1" ht="24.75" customHeight="1">
      <c r="A43" s="92">
        <v>36</v>
      </c>
      <c r="B43" s="93" t="s">
        <v>346</v>
      </c>
      <c r="C43" s="94">
        <f t="shared" si="4"/>
        <v>4525.26</v>
      </c>
      <c r="D43" s="94">
        <v>4525.26</v>
      </c>
      <c r="E43" s="94">
        <f t="shared" si="1"/>
        <v>0</v>
      </c>
      <c r="F43" s="94"/>
      <c r="G43" s="94">
        <f t="shared" si="5"/>
        <v>4525.26</v>
      </c>
      <c r="H43" s="95">
        <v>586.16</v>
      </c>
      <c r="I43" s="105">
        <v>104.02000000000001</v>
      </c>
      <c r="J43" s="94">
        <v>6</v>
      </c>
      <c r="K43" s="94">
        <v>5</v>
      </c>
      <c r="L43" s="94">
        <f t="shared" si="3"/>
        <v>93.02000000000001</v>
      </c>
      <c r="M43" s="94">
        <v>3835.08</v>
      </c>
      <c r="N43" s="106"/>
      <c r="O43" s="107"/>
    </row>
    <row r="44" spans="1:15" s="79" customFormat="1" ht="24.75" customHeight="1">
      <c r="A44" s="92">
        <v>37</v>
      </c>
      <c r="B44" s="100" t="s">
        <v>347</v>
      </c>
      <c r="C44" s="94">
        <f t="shared" si="4"/>
        <v>15</v>
      </c>
      <c r="D44" s="94">
        <v>15</v>
      </c>
      <c r="E44" s="94">
        <f t="shared" si="1"/>
        <v>0</v>
      </c>
      <c r="F44" s="94"/>
      <c r="G44" s="94">
        <f t="shared" si="5"/>
        <v>15</v>
      </c>
      <c r="H44" s="95"/>
      <c r="I44" s="111">
        <v>15</v>
      </c>
      <c r="J44" s="94">
        <v>1</v>
      </c>
      <c r="K44" s="94">
        <v>1</v>
      </c>
      <c r="L44" s="94">
        <f t="shared" si="3"/>
        <v>13</v>
      </c>
      <c r="M44" s="94"/>
      <c r="N44" s="106"/>
      <c r="O44" s="107"/>
    </row>
    <row r="45" spans="1:15" s="79" customFormat="1" ht="24.75" customHeight="1">
      <c r="A45" s="92">
        <v>38</v>
      </c>
      <c r="B45" s="93" t="s">
        <v>348</v>
      </c>
      <c r="C45" s="94">
        <f t="shared" si="4"/>
        <v>70</v>
      </c>
      <c r="D45" s="94">
        <v>70</v>
      </c>
      <c r="E45" s="94"/>
      <c r="F45" s="94"/>
      <c r="G45" s="94">
        <f t="shared" si="5"/>
        <v>70</v>
      </c>
      <c r="H45" s="95"/>
      <c r="I45" s="111">
        <v>20</v>
      </c>
      <c r="J45" s="94"/>
      <c r="K45" s="94"/>
      <c r="L45" s="94">
        <f t="shared" si="3"/>
        <v>20</v>
      </c>
      <c r="M45" s="94">
        <v>50</v>
      </c>
      <c r="N45" s="106"/>
      <c r="O45" s="107"/>
    </row>
    <row r="46" spans="1:15" s="79" customFormat="1" ht="24.75" customHeight="1">
      <c r="A46" s="92">
        <v>39</v>
      </c>
      <c r="B46" s="100" t="s">
        <v>349</v>
      </c>
      <c r="C46" s="94">
        <f t="shared" si="4"/>
        <v>388.87</v>
      </c>
      <c r="D46" s="94">
        <v>388.87</v>
      </c>
      <c r="E46" s="94">
        <f t="shared" si="1"/>
        <v>0</v>
      </c>
      <c r="F46" s="94"/>
      <c r="G46" s="94">
        <f t="shared" si="5"/>
        <v>388.87</v>
      </c>
      <c r="H46" s="95">
        <v>112.49</v>
      </c>
      <c r="I46" s="105">
        <v>26.38</v>
      </c>
      <c r="J46" s="94">
        <v>2</v>
      </c>
      <c r="K46" s="94">
        <v>1</v>
      </c>
      <c r="L46" s="94">
        <f t="shared" si="3"/>
        <v>23.38</v>
      </c>
      <c r="M46" s="94">
        <v>250</v>
      </c>
      <c r="N46" s="106"/>
      <c r="O46" s="107"/>
    </row>
    <row r="47" spans="1:15" s="79" customFormat="1" ht="24.75" customHeight="1">
      <c r="A47" s="92">
        <v>40</v>
      </c>
      <c r="B47" s="93" t="s">
        <v>350</v>
      </c>
      <c r="C47" s="94">
        <f t="shared" si="4"/>
        <v>1328.15</v>
      </c>
      <c r="D47" s="94">
        <v>1328.15</v>
      </c>
      <c r="E47" s="94">
        <f t="shared" si="1"/>
        <v>0</v>
      </c>
      <c r="F47" s="94"/>
      <c r="G47" s="94">
        <f t="shared" si="5"/>
        <v>1328.15</v>
      </c>
      <c r="H47" s="95">
        <v>380.49</v>
      </c>
      <c r="I47" s="105">
        <v>74.36</v>
      </c>
      <c r="J47" s="94">
        <v>4</v>
      </c>
      <c r="K47" s="94">
        <v>3</v>
      </c>
      <c r="L47" s="94">
        <f t="shared" si="3"/>
        <v>67.36</v>
      </c>
      <c r="M47" s="94">
        <v>873.3</v>
      </c>
      <c r="N47" s="106"/>
      <c r="O47" s="107"/>
    </row>
    <row r="48" spans="1:15" s="79" customFormat="1" ht="24.75" customHeight="1">
      <c r="A48" s="92">
        <v>41</v>
      </c>
      <c r="B48" s="93" t="s">
        <v>351</v>
      </c>
      <c r="C48" s="94">
        <f t="shared" si="4"/>
        <v>864.89</v>
      </c>
      <c r="D48" s="94">
        <v>864.89</v>
      </c>
      <c r="E48" s="94">
        <f t="shared" si="1"/>
        <v>0</v>
      </c>
      <c r="F48" s="94"/>
      <c r="G48" s="94">
        <f t="shared" si="5"/>
        <v>864.89</v>
      </c>
      <c r="H48" s="95">
        <v>515.77</v>
      </c>
      <c r="I48" s="105">
        <v>74.12</v>
      </c>
      <c r="J48" s="94">
        <v>7</v>
      </c>
      <c r="K48" s="94">
        <v>6</v>
      </c>
      <c r="L48" s="94">
        <f t="shared" si="3"/>
        <v>61.120000000000005</v>
      </c>
      <c r="M48" s="94">
        <v>275</v>
      </c>
      <c r="N48" s="106"/>
      <c r="O48" s="107"/>
    </row>
    <row r="49" spans="1:15" s="79" customFormat="1" ht="24.75" customHeight="1">
      <c r="A49" s="92">
        <v>42</v>
      </c>
      <c r="B49" s="24" t="s">
        <v>352</v>
      </c>
      <c r="C49" s="94">
        <f t="shared" si="4"/>
        <v>693.91</v>
      </c>
      <c r="D49" s="94">
        <v>693.91</v>
      </c>
      <c r="E49" s="94"/>
      <c r="F49" s="94"/>
      <c r="G49" s="94">
        <f t="shared" si="5"/>
        <v>693.91</v>
      </c>
      <c r="H49" s="94">
        <v>530.75</v>
      </c>
      <c r="I49" s="105">
        <v>73.16</v>
      </c>
      <c r="J49" s="94">
        <v>7</v>
      </c>
      <c r="K49" s="94">
        <v>6</v>
      </c>
      <c r="L49" s="94">
        <f t="shared" si="3"/>
        <v>60.16</v>
      </c>
      <c r="M49" s="94">
        <v>90</v>
      </c>
      <c r="N49" s="106"/>
      <c r="O49" s="107"/>
    </row>
    <row r="50" spans="1:15" s="79" customFormat="1" ht="24.75" customHeight="1">
      <c r="A50" s="92">
        <v>43</v>
      </c>
      <c r="B50" s="93" t="s">
        <v>353</v>
      </c>
      <c r="C50" s="94">
        <f t="shared" si="4"/>
        <v>1173.12</v>
      </c>
      <c r="D50" s="94">
        <v>1173.12</v>
      </c>
      <c r="E50" s="94">
        <f>N50</f>
        <v>0</v>
      </c>
      <c r="F50" s="94">
        <v>0</v>
      </c>
      <c r="G50" s="94">
        <f t="shared" si="5"/>
        <v>1173.12</v>
      </c>
      <c r="H50" s="95">
        <v>755.46</v>
      </c>
      <c r="I50" s="105">
        <v>98.64</v>
      </c>
      <c r="J50" s="94">
        <v>7.5</v>
      </c>
      <c r="K50" s="94">
        <v>7</v>
      </c>
      <c r="L50" s="94">
        <f t="shared" si="3"/>
        <v>84.14</v>
      </c>
      <c r="M50" s="94">
        <v>319.02</v>
      </c>
      <c r="N50" s="106"/>
      <c r="O50" s="107"/>
    </row>
    <row r="51" spans="1:15" s="79" customFormat="1" ht="24.75" customHeight="1">
      <c r="A51" s="92">
        <v>44</v>
      </c>
      <c r="B51" s="98" t="s">
        <v>354</v>
      </c>
      <c r="C51" s="94">
        <f t="shared" si="4"/>
        <v>231.09</v>
      </c>
      <c r="D51" s="94">
        <v>231.09</v>
      </c>
      <c r="E51" s="94">
        <f>N51</f>
        <v>0</v>
      </c>
      <c r="F51" s="94"/>
      <c r="G51" s="94">
        <f t="shared" si="5"/>
        <v>231.09</v>
      </c>
      <c r="H51" s="95">
        <v>82.09</v>
      </c>
      <c r="I51" s="105">
        <v>19</v>
      </c>
      <c r="J51" s="94">
        <v>4</v>
      </c>
      <c r="K51" s="94">
        <v>2</v>
      </c>
      <c r="L51" s="94">
        <f t="shared" si="3"/>
        <v>13</v>
      </c>
      <c r="M51" s="94">
        <v>130</v>
      </c>
      <c r="N51" s="112"/>
      <c r="O51" s="107"/>
    </row>
    <row r="52" spans="1:15" s="79" customFormat="1" ht="24.75" customHeight="1">
      <c r="A52" s="92">
        <v>45</v>
      </c>
      <c r="B52" s="93" t="s">
        <v>355</v>
      </c>
      <c r="C52" s="94">
        <f t="shared" si="4"/>
        <v>543.17</v>
      </c>
      <c r="D52" s="94">
        <v>543.17</v>
      </c>
      <c r="E52" s="94">
        <f>N52</f>
        <v>0</v>
      </c>
      <c r="F52" s="94"/>
      <c r="G52" s="94">
        <f t="shared" si="5"/>
        <v>543.1700000000001</v>
      </c>
      <c r="H52" s="97">
        <v>418.99</v>
      </c>
      <c r="I52" s="105">
        <v>86.48</v>
      </c>
      <c r="J52" s="94">
        <v>3</v>
      </c>
      <c r="K52" s="94">
        <v>4</v>
      </c>
      <c r="L52" s="94">
        <f t="shared" si="3"/>
        <v>79.48</v>
      </c>
      <c r="M52" s="94">
        <v>37.7</v>
      </c>
      <c r="N52" s="106"/>
      <c r="O52" s="107"/>
    </row>
    <row r="53" spans="1:15" s="79" customFormat="1" ht="24.75" customHeight="1">
      <c r="A53" s="92">
        <v>46</v>
      </c>
      <c r="B53" s="93" t="s">
        <v>356</v>
      </c>
      <c r="C53" s="94">
        <f t="shared" si="4"/>
        <v>20</v>
      </c>
      <c r="D53" s="94">
        <v>20</v>
      </c>
      <c r="E53" s="94">
        <f>N53</f>
        <v>0</v>
      </c>
      <c r="F53" s="94"/>
      <c r="G53" s="94">
        <f t="shared" si="5"/>
        <v>20</v>
      </c>
      <c r="H53" s="95"/>
      <c r="I53" s="105">
        <v>20</v>
      </c>
      <c r="J53" s="94">
        <v>5</v>
      </c>
      <c r="K53" s="94">
        <v>4</v>
      </c>
      <c r="L53" s="94">
        <f t="shared" si="3"/>
        <v>11</v>
      </c>
      <c r="M53" s="94"/>
      <c r="N53" s="106"/>
      <c r="O53" s="107"/>
    </row>
    <row r="54" spans="1:15" s="79" customFormat="1" ht="24.75" customHeight="1">
      <c r="A54" s="92">
        <v>47</v>
      </c>
      <c r="B54" s="93" t="s">
        <v>357</v>
      </c>
      <c r="C54" s="94">
        <f t="shared" si="4"/>
        <v>6031.18038</v>
      </c>
      <c r="D54" s="94">
        <v>6031.18038</v>
      </c>
      <c r="E54" s="94">
        <f>N54</f>
        <v>0</v>
      </c>
      <c r="F54" s="94">
        <v>0</v>
      </c>
      <c r="G54" s="94">
        <f t="shared" si="5"/>
        <v>6031.18038</v>
      </c>
      <c r="H54" s="97">
        <v>3777.08</v>
      </c>
      <c r="I54" s="105">
        <v>120.1</v>
      </c>
      <c r="J54" s="113">
        <v>7</v>
      </c>
      <c r="K54" s="113">
        <v>8</v>
      </c>
      <c r="L54" s="94">
        <f t="shared" si="3"/>
        <v>105.1</v>
      </c>
      <c r="M54" s="114">
        <v>2134.00038</v>
      </c>
      <c r="N54" s="106"/>
      <c r="O54" s="107"/>
    </row>
    <row r="55" spans="1:15" s="79" customFormat="1" ht="24.75" customHeight="1">
      <c r="A55" s="92">
        <v>48</v>
      </c>
      <c r="B55" s="24" t="s">
        <v>358</v>
      </c>
      <c r="C55" s="94">
        <f t="shared" si="4"/>
        <v>499.73</v>
      </c>
      <c r="D55" s="94">
        <v>499.73</v>
      </c>
      <c r="E55" s="94"/>
      <c r="F55" s="94"/>
      <c r="G55" s="94">
        <f t="shared" si="5"/>
        <v>499.73</v>
      </c>
      <c r="H55" s="94">
        <v>184.36</v>
      </c>
      <c r="I55" s="111">
        <v>42.52</v>
      </c>
      <c r="J55" s="94">
        <v>6</v>
      </c>
      <c r="K55" s="94">
        <v>5</v>
      </c>
      <c r="L55" s="94">
        <f t="shared" si="3"/>
        <v>31.519999999999996</v>
      </c>
      <c r="M55" s="94">
        <v>272.85</v>
      </c>
      <c r="N55" s="106"/>
      <c r="O55" s="107"/>
    </row>
    <row r="56" spans="1:15" s="79" customFormat="1" ht="24.75" customHeight="1">
      <c r="A56" s="92">
        <v>49</v>
      </c>
      <c r="B56" s="24" t="s">
        <v>359</v>
      </c>
      <c r="C56" s="94">
        <f t="shared" si="4"/>
        <v>801.93</v>
      </c>
      <c r="D56" s="94">
        <v>801.93</v>
      </c>
      <c r="E56" s="94"/>
      <c r="F56" s="94"/>
      <c r="G56" s="94">
        <f t="shared" si="5"/>
        <v>801.9300000000001</v>
      </c>
      <c r="H56" s="94">
        <v>130.24</v>
      </c>
      <c r="I56" s="111">
        <v>13.22</v>
      </c>
      <c r="J56" s="94">
        <v>6</v>
      </c>
      <c r="K56" s="94">
        <v>5</v>
      </c>
      <c r="L56" s="94">
        <f t="shared" si="3"/>
        <v>2.2200000000000006</v>
      </c>
      <c r="M56" s="94">
        <v>658.47</v>
      </c>
      <c r="N56" s="106"/>
      <c r="O56" s="107"/>
    </row>
    <row r="57" spans="1:15" s="79" customFormat="1" ht="24.75" customHeight="1">
      <c r="A57" s="92">
        <v>50</v>
      </c>
      <c r="B57" s="93" t="s">
        <v>360</v>
      </c>
      <c r="C57" s="94">
        <f t="shared" si="4"/>
        <v>704.36</v>
      </c>
      <c r="D57" s="94">
        <v>704.36</v>
      </c>
      <c r="E57" s="94">
        <f aca="true" t="shared" si="6" ref="E57:E71">N57</f>
        <v>0</v>
      </c>
      <c r="F57" s="94">
        <v>0</v>
      </c>
      <c r="G57" s="94">
        <f t="shared" si="5"/>
        <v>704.36</v>
      </c>
      <c r="H57" s="95">
        <v>490.2</v>
      </c>
      <c r="I57" s="105">
        <v>146.28</v>
      </c>
      <c r="J57" s="94">
        <v>8</v>
      </c>
      <c r="K57" s="94">
        <v>6</v>
      </c>
      <c r="L57" s="94">
        <f t="shared" si="3"/>
        <v>132.28</v>
      </c>
      <c r="M57" s="94">
        <v>67.88</v>
      </c>
      <c r="N57" s="106"/>
      <c r="O57" s="107"/>
    </row>
    <row r="58" spans="1:15" s="79" customFormat="1" ht="24.75" customHeight="1">
      <c r="A58" s="92">
        <v>51</v>
      </c>
      <c r="B58" s="93" t="s">
        <v>361</v>
      </c>
      <c r="C58" s="94">
        <f t="shared" si="4"/>
        <v>261.46</v>
      </c>
      <c r="D58" s="94">
        <v>261.46</v>
      </c>
      <c r="E58" s="94">
        <f t="shared" si="6"/>
        <v>0</v>
      </c>
      <c r="F58" s="94"/>
      <c r="G58" s="94">
        <f t="shared" si="5"/>
        <v>261.46000000000004</v>
      </c>
      <c r="H58" s="95">
        <v>119.04</v>
      </c>
      <c r="I58" s="105">
        <v>37.42</v>
      </c>
      <c r="J58" s="94">
        <v>3</v>
      </c>
      <c r="K58" s="94">
        <v>3</v>
      </c>
      <c r="L58" s="94">
        <f t="shared" si="3"/>
        <v>31.42</v>
      </c>
      <c r="M58" s="94">
        <v>105</v>
      </c>
      <c r="N58" s="106"/>
      <c r="O58" s="107"/>
    </row>
    <row r="59" spans="1:15" s="79" customFormat="1" ht="24.75" customHeight="1">
      <c r="A59" s="92">
        <v>52</v>
      </c>
      <c r="B59" s="93" t="s">
        <v>362</v>
      </c>
      <c r="C59" s="94">
        <f t="shared" si="4"/>
        <v>267.41</v>
      </c>
      <c r="D59" s="94">
        <v>267.41</v>
      </c>
      <c r="E59" s="94">
        <f t="shared" si="6"/>
        <v>0</v>
      </c>
      <c r="F59" s="94"/>
      <c r="G59" s="94">
        <f t="shared" si="5"/>
        <v>267.40999999999997</v>
      </c>
      <c r="H59" s="95">
        <v>176.23</v>
      </c>
      <c r="I59" s="105">
        <v>61.18</v>
      </c>
      <c r="J59" s="94">
        <v>3</v>
      </c>
      <c r="K59" s="94">
        <v>3</v>
      </c>
      <c r="L59" s="94">
        <f t="shared" si="3"/>
        <v>55.18</v>
      </c>
      <c r="M59" s="94">
        <v>30</v>
      </c>
      <c r="N59" s="106"/>
      <c r="O59" s="107"/>
    </row>
    <row r="60" spans="1:15" s="79" customFormat="1" ht="24.75" customHeight="1">
      <c r="A60" s="92">
        <v>53</v>
      </c>
      <c r="B60" s="93" t="s">
        <v>363</v>
      </c>
      <c r="C60" s="94">
        <f t="shared" si="4"/>
        <v>194.72</v>
      </c>
      <c r="D60" s="94">
        <v>194.72</v>
      </c>
      <c r="E60" s="94">
        <f t="shared" si="6"/>
        <v>0</v>
      </c>
      <c r="F60" s="94"/>
      <c r="G60" s="94">
        <f t="shared" si="5"/>
        <v>194.72</v>
      </c>
      <c r="H60" s="95">
        <v>102.9</v>
      </c>
      <c r="I60" s="105">
        <v>31.82</v>
      </c>
      <c r="J60" s="94">
        <v>2</v>
      </c>
      <c r="K60" s="94">
        <v>2</v>
      </c>
      <c r="L60" s="94">
        <f t="shared" si="3"/>
        <v>27.82</v>
      </c>
      <c r="M60" s="94">
        <v>60</v>
      </c>
      <c r="N60" s="106"/>
      <c r="O60" s="107"/>
    </row>
    <row r="61" spans="1:15" s="79" customFormat="1" ht="24.75" customHeight="1">
      <c r="A61" s="92">
        <v>54</v>
      </c>
      <c r="B61" s="93" t="s">
        <v>364</v>
      </c>
      <c r="C61" s="94">
        <f t="shared" si="4"/>
        <v>3983.61</v>
      </c>
      <c r="D61" s="94">
        <v>3983.61</v>
      </c>
      <c r="E61" s="94">
        <f t="shared" si="6"/>
        <v>0</v>
      </c>
      <c r="F61" s="94"/>
      <c r="G61" s="94">
        <f t="shared" si="5"/>
        <v>3983.61</v>
      </c>
      <c r="H61" s="95">
        <v>159.13</v>
      </c>
      <c r="I61" s="105">
        <v>224.48</v>
      </c>
      <c r="J61" s="94">
        <v>5</v>
      </c>
      <c r="K61" s="94">
        <v>4</v>
      </c>
      <c r="L61" s="94">
        <f t="shared" si="3"/>
        <v>215.48</v>
      </c>
      <c r="M61" s="94">
        <v>3600</v>
      </c>
      <c r="N61" s="106"/>
      <c r="O61" s="107"/>
    </row>
    <row r="62" spans="1:15" s="79" customFormat="1" ht="24.75" customHeight="1">
      <c r="A62" s="92">
        <v>55</v>
      </c>
      <c r="B62" s="93" t="s">
        <v>365</v>
      </c>
      <c r="C62" s="94">
        <f t="shared" si="4"/>
        <v>86.79</v>
      </c>
      <c r="D62" s="94">
        <v>86.79</v>
      </c>
      <c r="E62" s="94">
        <f t="shared" si="6"/>
        <v>0</v>
      </c>
      <c r="F62" s="94"/>
      <c r="G62" s="94">
        <f t="shared" si="5"/>
        <v>86.78999999999999</v>
      </c>
      <c r="H62" s="97">
        <v>41.39</v>
      </c>
      <c r="I62" s="105">
        <v>30.4</v>
      </c>
      <c r="J62" s="94">
        <v>15</v>
      </c>
      <c r="K62" s="94">
        <v>5</v>
      </c>
      <c r="L62" s="94">
        <f t="shared" si="3"/>
        <v>10.399999999999999</v>
      </c>
      <c r="M62" s="94">
        <v>15</v>
      </c>
      <c r="N62" s="106"/>
      <c r="O62" s="107"/>
    </row>
    <row r="63" spans="1:15" s="79" customFormat="1" ht="24.75" customHeight="1">
      <c r="A63" s="92">
        <v>56</v>
      </c>
      <c r="B63" s="93" t="s">
        <v>366</v>
      </c>
      <c r="C63" s="94">
        <f t="shared" si="4"/>
        <v>139.96</v>
      </c>
      <c r="D63" s="94">
        <v>139.96</v>
      </c>
      <c r="E63" s="94">
        <f t="shared" si="6"/>
        <v>0</v>
      </c>
      <c r="F63" s="94"/>
      <c r="G63" s="94">
        <f t="shared" si="5"/>
        <v>139.96</v>
      </c>
      <c r="H63" s="95">
        <v>34.98</v>
      </c>
      <c r="I63" s="105">
        <v>104.98</v>
      </c>
      <c r="J63" s="94">
        <v>60</v>
      </c>
      <c r="K63" s="94">
        <v>3</v>
      </c>
      <c r="L63" s="94">
        <f t="shared" si="3"/>
        <v>41.980000000000004</v>
      </c>
      <c r="M63" s="94"/>
      <c r="N63" s="106"/>
      <c r="O63" s="107"/>
    </row>
    <row r="64" spans="1:15" s="79" customFormat="1" ht="24.75" customHeight="1">
      <c r="A64" s="92">
        <v>57</v>
      </c>
      <c r="B64" s="93" t="s">
        <v>367</v>
      </c>
      <c r="C64" s="94">
        <f t="shared" si="4"/>
        <v>380.34</v>
      </c>
      <c r="D64" s="94">
        <v>380.34</v>
      </c>
      <c r="E64" s="94">
        <f t="shared" si="6"/>
        <v>0</v>
      </c>
      <c r="F64" s="94"/>
      <c r="G64" s="94">
        <f t="shared" si="5"/>
        <v>380.34</v>
      </c>
      <c r="H64" s="97">
        <v>18.34</v>
      </c>
      <c r="I64" s="97">
        <v>6</v>
      </c>
      <c r="J64" s="94"/>
      <c r="K64" s="94"/>
      <c r="L64" s="94">
        <f t="shared" si="3"/>
        <v>6</v>
      </c>
      <c r="M64" s="94">
        <v>356</v>
      </c>
      <c r="N64" s="106"/>
      <c r="O64" s="107"/>
    </row>
    <row r="65" spans="1:15" s="79" customFormat="1" ht="24.75" customHeight="1">
      <c r="A65" s="92">
        <v>58</v>
      </c>
      <c r="B65" s="93" t="s">
        <v>368</v>
      </c>
      <c r="C65" s="94">
        <f t="shared" si="4"/>
        <v>15</v>
      </c>
      <c r="D65" s="94">
        <v>15</v>
      </c>
      <c r="E65" s="94">
        <f t="shared" si="6"/>
        <v>0</v>
      </c>
      <c r="F65" s="94"/>
      <c r="G65" s="94">
        <f t="shared" si="5"/>
        <v>15</v>
      </c>
      <c r="H65" s="95"/>
      <c r="I65" s="95">
        <v>15</v>
      </c>
      <c r="J65" s="94">
        <v>1</v>
      </c>
      <c r="K65" s="94">
        <v>1</v>
      </c>
      <c r="L65" s="94">
        <f t="shared" si="3"/>
        <v>13</v>
      </c>
      <c r="M65" s="94"/>
      <c r="N65" s="106"/>
      <c r="O65" s="107"/>
    </row>
    <row r="66" spans="1:15" s="79" customFormat="1" ht="24.75" customHeight="1">
      <c r="A66" s="92">
        <v>59</v>
      </c>
      <c r="B66" s="93" t="s">
        <v>369</v>
      </c>
      <c r="C66" s="94">
        <f t="shared" si="4"/>
        <v>90.33</v>
      </c>
      <c r="D66" s="94">
        <v>90.33</v>
      </c>
      <c r="E66" s="94">
        <f t="shared" si="6"/>
        <v>0</v>
      </c>
      <c r="F66" s="94"/>
      <c r="G66" s="94">
        <f t="shared" si="5"/>
        <v>90.33</v>
      </c>
      <c r="H66" s="95">
        <v>73.83</v>
      </c>
      <c r="I66" s="95">
        <v>15</v>
      </c>
      <c r="J66" s="94">
        <v>0.5</v>
      </c>
      <c r="K66" s="94">
        <v>0.5</v>
      </c>
      <c r="L66" s="94">
        <f t="shared" si="3"/>
        <v>14</v>
      </c>
      <c r="M66" s="94">
        <v>1.5</v>
      </c>
      <c r="N66" s="106"/>
      <c r="O66" s="107"/>
    </row>
    <row r="67" spans="1:15" s="79" customFormat="1" ht="24.75" customHeight="1">
      <c r="A67" s="92">
        <v>60</v>
      </c>
      <c r="B67" s="115" t="s">
        <v>370</v>
      </c>
      <c r="C67" s="94">
        <f t="shared" si="4"/>
        <v>304.42</v>
      </c>
      <c r="D67" s="94">
        <v>304.42</v>
      </c>
      <c r="E67" s="94">
        <f t="shared" si="6"/>
        <v>0</v>
      </c>
      <c r="F67" s="94"/>
      <c r="G67" s="94">
        <f t="shared" si="5"/>
        <v>304.42</v>
      </c>
      <c r="H67" s="95">
        <v>190.96</v>
      </c>
      <c r="I67" s="95">
        <v>103.46</v>
      </c>
      <c r="J67" s="94">
        <v>2</v>
      </c>
      <c r="K67" s="94">
        <v>2</v>
      </c>
      <c r="L67" s="94">
        <f t="shared" si="3"/>
        <v>99.46</v>
      </c>
      <c r="M67" s="94">
        <v>10</v>
      </c>
      <c r="N67" s="106"/>
      <c r="O67" s="107"/>
    </row>
    <row r="68" spans="1:15" s="79" customFormat="1" ht="24.75" customHeight="1">
      <c r="A68" s="92">
        <v>61</v>
      </c>
      <c r="B68" s="93" t="s">
        <v>371</v>
      </c>
      <c r="C68" s="94">
        <f t="shared" si="4"/>
        <v>144</v>
      </c>
      <c r="D68" s="94">
        <v>144</v>
      </c>
      <c r="E68" s="94">
        <f t="shared" si="6"/>
        <v>0</v>
      </c>
      <c r="F68" s="94"/>
      <c r="G68" s="94">
        <f t="shared" si="5"/>
        <v>144</v>
      </c>
      <c r="H68" s="97"/>
      <c r="I68" s="97">
        <v>5</v>
      </c>
      <c r="J68" s="94"/>
      <c r="K68" s="94"/>
      <c r="L68" s="94">
        <f t="shared" si="3"/>
        <v>5</v>
      </c>
      <c r="M68" s="94">
        <v>139</v>
      </c>
      <c r="N68" s="106"/>
      <c r="O68" s="107"/>
    </row>
    <row r="69" spans="1:15" s="79" customFormat="1" ht="24.75" customHeight="1">
      <c r="A69" s="92">
        <v>62</v>
      </c>
      <c r="B69" s="93" t="s">
        <v>372</v>
      </c>
      <c r="C69" s="94">
        <f t="shared" si="4"/>
        <v>7.8</v>
      </c>
      <c r="D69" s="94">
        <v>7.8</v>
      </c>
      <c r="E69" s="94"/>
      <c r="F69" s="94"/>
      <c r="G69" s="94">
        <f t="shared" si="5"/>
        <v>7.8</v>
      </c>
      <c r="H69" s="97"/>
      <c r="I69" s="97">
        <v>7.8</v>
      </c>
      <c r="J69" s="94"/>
      <c r="K69" s="94"/>
      <c r="L69" s="94">
        <f t="shared" si="3"/>
        <v>7.8</v>
      </c>
      <c r="M69" s="94"/>
      <c r="N69" s="106"/>
      <c r="O69" s="107"/>
    </row>
    <row r="70" spans="1:15" s="79" customFormat="1" ht="24.75" customHeight="1">
      <c r="A70" s="92">
        <v>63</v>
      </c>
      <c r="B70" s="93" t="s">
        <v>373</v>
      </c>
      <c r="C70" s="94">
        <f t="shared" si="4"/>
        <v>17</v>
      </c>
      <c r="D70" s="94">
        <f>H70+I70+M70</f>
        <v>17</v>
      </c>
      <c r="E70" s="94">
        <f t="shared" si="6"/>
        <v>0</v>
      </c>
      <c r="F70" s="94"/>
      <c r="G70" s="94">
        <f t="shared" si="5"/>
        <v>17</v>
      </c>
      <c r="H70" s="95"/>
      <c r="I70" s="95">
        <v>5</v>
      </c>
      <c r="J70" s="94"/>
      <c r="K70" s="94"/>
      <c r="L70" s="94">
        <f t="shared" si="3"/>
        <v>5</v>
      </c>
      <c r="M70" s="94">
        <v>12</v>
      </c>
      <c r="N70" s="106"/>
      <c r="O70" s="107"/>
    </row>
    <row r="71" spans="1:15" s="79" customFormat="1" ht="24.75" customHeight="1">
      <c r="A71" s="92">
        <v>64</v>
      </c>
      <c r="B71" s="93" t="s">
        <v>374</v>
      </c>
      <c r="C71" s="94">
        <f t="shared" si="4"/>
        <v>8</v>
      </c>
      <c r="D71" s="94">
        <v>8</v>
      </c>
      <c r="E71" s="94">
        <f t="shared" si="6"/>
        <v>0</v>
      </c>
      <c r="F71" s="94"/>
      <c r="G71" s="94">
        <f t="shared" si="5"/>
        <v>8</v>
      </c>
      <c r="H71" s="95">
        <v>0</v>
      </c>
      <c r="I71" s="97">
        <v>8</v>
      </c>
      <c r="J71" s="94"/>
      <c r="K71" s="94"/>
      <c r="L71" s="94">
        <f t="shared" si="3"/>
        <v>8</v>
      </c>
      <c r="M71" s="94"/>
      <c r="N71" s="106"/>
      <c r="O71" s="107"/>
    </row>
    <row r="72" spans="1:19" s="79" customFormat="1" ht="28.5" customHeight="1">
      <c r="A72" s="92">
        <v>65</v>
      </c>
      <c r="B72" s="116" t="s">
        <v>375</v>
      </c>
      <c r="C72" s="94">
        <f t="shared" si="4"/>
        <v>60.16</v>
      </c>
      <c r="D72" s="94">
        <v>60.16</v>
      </c>
      <c r="E72" s="94"/>
      <c r="F72" s="94"/>
      <c r="G72" s="94">
        <f t="shared" si="5"/>
        <v>60.16</v>
      </c>
      <c r="H72" s="94">
        <v>26.56</v>
      </c>
      <c r="I72" s="95">
        <v>33.6</v>
      </c>
      <c r="J72" s="94">
        <v>2</v>
      </c>
      <c r="K72" s="94">
        <v>2</v>
      </c>
      <c r="L72" s="94">
        <f t="shared" si="3"/>
        <v>29.6</v>
      </c>
      <c r="M72" s="94">
        <v>0</v>
      </c>
      <c r="N72" s="106"/>
      <c r="O72" s="107"/>
      <c r="S72" s="121"/>
    </row>
    <row r="73" spans="1:15" s="79" customFormat="1" ht="24.75" customHeight="1">
      <c r="A73" s="92">
        <v>66</v>
      </c>
      <c r="B73" s="93" t="s">
        <v>376</v>
      </c>
      <c r="C73" s="94">
        <f t="shared" si="4"/>
        <v>22322</v>
      </c>
      <c r="D73" s="94">
        <f>H73+I73+M73</f>
        <v>22322</v>
      </c>
      <c r="E73" s="94">
        <f>N73</f>
        <v>0</v>
      </c>
      <c r="F73" s="94"/>
      <c r="G73" s="94">
        <f t="shared" si="5"/>
        <v>22322</v>
      </c>
      <c r="H73" s="117">
        <v>22322</v>
      </c>
      <c r="I73" s="94"/>
      <c r="J73" s="94"/>
      <c r="K73" s="94"/>
      <c r="L73" s="94">
        <f>I73-J73-K73</f>
        <v>0</v>
      </c>
      <c r="M73" s="94"/>
      <c r="N73" s="106"/>
      <c r="O73" s="107"/>
    </row>
    <row r="74" spans="1:19" s="79" customFormat="1" ht="24.75" customHeight="1">
      <c r="A74" s="92">
        <v>67</v>
      </c>
      <c r="B74" s="93" t="s">
        <v>377</v>
      </c>
      <c r="C74" s="94">
        <f t="shared" si="4"/>
        <v>18030</v>
      </c>
      <c r="D74" s="94">
        <f>H74+I74+M74</f>
        <v>18030</v>
      </c>
      <c r="E74" s="94">
        <f>N74</f>
        <v>0</v>
      </c>
      <c r="F74" s="94"/>
      <c r="G74" s="94">
        <f t="shared" si="5"/>
        <v>18030</v>
      </c>
      <c r="H74" s="94"/>
      <c r="I74" s="94"/>
      <c r="J74" s="94"/>
      <c r="K74" s="94"/>
      <c r="L74" s="94">
        <f>I74-J74-K74</f>
        <v>0</v>
      </c>
      <c r="M74" s="94">
        <v>18030</v>
      </c>
      <c r="N74" s="106"/>
      <c r="O74" s="107"/>
      <c r="S74" s="121"/>
    </row>
    <row r="75" spans="1:19" s="79" customFormat="1" ht="24.75" customHeight="1">
      <c r="A75" s="92">
        <v>68</v>
      </c>
      <c r="B75" s="118" t="s">
        <v>306</v>
      </c>
      <c r="C75" s="94">
        <f t="shared" si="4"/>
        <v>20000</v>
      </c>
      <c r="D75" s="94"/>
      <c r="E75" s="94"/>
      <c r="F75" s="94">
        <v>20000</v>
      </c>
      <c r="G75" s="94">
        <f t="shared" si="5"/>
        <v>20000</v>
      </c>
      <c r="H75" s="94"/>
      <c r="I75" s="94"/>
      <c r="J75" s="94"/>
      <c r="K75" s="94"/>
      <c r="L75" s="94"/>
      <c r="M75" s="94"/>
      <c r="N75" s="106"/>
      <c r="O75" s="107">
        <v>20000</v>
      </c>
      <c r="S75" s="121"/>
    </row>
    <row r="76" spans="1:19" s="79" customFormat="1" ht="24.75" customHeight="1">
      <c r="A76" s="92">
        <v>69</v>
      </c>
      <c r="B76" s="116" t="s">
        <v>301</v>
      </c>
      <c r="C76" s="94">
        <f t="shared" si="4"/>
        <v>120000</v>
      </c>
      <c r="D76" s="94"/>
      <c r="E76" s="94">
        <v>120000</v>
      </c>
      <c r="F76" s="94"/>
      <c r="G76" s="94">
        <f t="shared" si="5"/>
        <v>120000</v>
      </c>
      <c r="H76" s="94"/>
      <c r="I76" s="94"/>
      <c r="J76" s="94"/>
      <c r="K76" s="94"/>
      <c r="L76" s="94"/>
      <c r="M76" s="94"/>
      <c r="N76" s="106">
        <v>120000</v>
      </c>
      <c r="O76" s="107"/>
      <c r="S76" s="121"/>
    </row>
    <row r="77" spans="1:16" s="79" customFormat="1" ht="24.75" customHeight="1">
      <c r="A77" s="24" t="s">
        <v>272</v>
      </c>
      <c r="B77" s="24"/>
      <c r="C77" s="119">
        <f aca="true" t="shared" si="7" ref="C77:H77">SUM(C8:C76)</f>
        <v>250900.14328000002</v>
      </c>
      <c r="D77" s="119">
        <f t="shared" si="7"/>
        <v>110900.14328</v>
      </c>
      <c r="E77" s="119">
        <f t="shared" si="7"/>
        <v>120000</v>
      </c>
      <c r="F77" s="119">
        <f t="shared" si="7"/>
        <v>20000</v>
      </c>
      <c r="G77" s="119">
        <f t="shared" si="7"/>
        <v>250900.14328000002</v>
      </c>
      <c r="H77" s="119">
        <f t="shared" si="7"/>
        <v>56491.72000000001</v>
      </c>
      <c r="I77" s="119">
        <f aca="true" t="shared" si="8" ref="I77:O77">SUM(I8:I76)</f>
        <v>5105.438</v>
      </c>
      <c r="J77" s="119">
        <f t="shared" si="8"/>
        <v>312.6</v>
      </c>
      <c r="K77" s="119">
        <f t="shared" si="8"/>
        <v>315.8</v>
      </c>
      <c r="L77" s="119">
        <f t="shared" si="8"/>
        <v>4477.037999999999</v>
      </c>
      <c r="M77" s="119">
        <f t="shared" si="8"/>
        <v>49302.98528000001</v>
      </c>
      <c r="N77" s="119">
        <f t="shared" si="8"/>
        <v>120000</v>
      </c>
      <c r="O77" s="119">
        <f t="shared" si="8"/>
        <v>20000</v>
      </c>
      <c r="P77" s="79">
        <f>90000</f>
        <v>90000</v>
      </c>
    </row>
    <row r="78" spans="1:16" s="79" customFormat="1" ht="169.5" customHeight="1">
      <c r="A78" s="120" t="s">
        <v>378</v>
      </c>
      <c r="B78" s="120"/>
      <c r="C78" s="120"/>
      <c r="D78" s="120"/>
      <c r="E78" s="120"/>
      <c r="F78" s="120"/>
      <c r="G78" s="120"/>
      <c r="H78" s="120"/>
      <c r="I78" s="120"/>
      <c r="J78" s="120"/>
      <c r="K78" s="120"/>
      <c r="L78" s="120"/>
      <c r="M78" s="120"/>
      <c r="N78" s="120"/>
      <c r="O78" s="120"/>
      <c r="P78" s="79">
        <f>C77+P77</f>
        <v>340900.14328</v>
      </c>
    </row>
  </sheetData>
  <sheetProtection/>
  <mergeCells count="24">
    <mergeCell ref="A1:N1"/>
    <mergeCell ref="A2:C2"/>
    <mergeCell ref="L2:M2"/>
    <mergeCell ref="C3:O3"/>
    <mergeCell ref="C4:F4"/>
    <mergeCell ref="G4:O4"/>
    <mergeCell ref="I5:L5"/>
    <mergeCell ref="A77:B77"/>
    <mergeCell ref="A78:O78"/>
    <mergeCell ref="A3:A7"/>
    <mergeCell ref="B3:B7"/>
    <mergeCell ref="C5:C7"/>
    <mergeCell ref="D5:D7"/>
    <mergeCell ref="E5:E7"/>
    <mergeCell ref="F5:F7"/>
    <mergeCell ref="G5:G7"/>
    <mergeCell ref="H5:H7"/>
    <mergeCell ref="I6:I7"/>
    <mergeCell ref="J6:J7"/>
    <mergeCell ref="K6:K7"/>
    <mergeCell ref="L6:L7"/>
    <mergeCell ref="M5:M7"/>
    <mergeCell ref="N5:N7"/>
    <mergeCell ref="O5:O7"/>
  </mergeCells>
  <printOptions horizontalCentered="1"/>
  <pageMargins left="0.5902777777777778" right="0.5902777777777778" top="0.5902777777777778" bottom="0.5902777777777778" header="0.2791666666666667" footer="0.35"/>
  <pageSetup firstPageNumber="22" useFirstPageNumber="1" horizontalDpi="600" verticalDpi="600" orientation="landscape" paperSize="9" scale="88"/>
</worksheet>
</file>

<file path=xl/worksheets/sheet15.xml><?xml version="1.0" encoding="utf-8"?>
<worksheet xmlns="http://schemas.openxmlformats.org/spreadsheetml/2006/main" xmlns:r="http://schemas.openxmlformats.org/officeDocument/2006/relationships">
  <sheetPr>
    <tabColor rgb="FF00B0F0"/>
  </sheetPr>
  <dimension ref="A1:F21"/>
  <sheetViews>
    <sheetView zoomScaleSheetLayoutView="100" workbookViewId="0" topLeftCell="A10">
      <selection activeCell="F12" sqref="F12"/>
    </sheetView>
  </sheetViews>
  <sheetFormatPr defaultColWidth="8.75390625" defaultRowHeight="14.25"/>
  <cols>
    <col min="1" max="1" width="24.75390625" style="0" customWidth="1"/>
    <col min="2" max="2" width="12.25390625" style="0" customWidth="1"/>
    <col min="3" max="3" width="10.375" style="0" customWidth="1"/>
    <col min="4" max="4" width="37.50390625" style="0" customWidth="1"/>
    <col min="5" max="5" width="14.00390625" style="0" customWidth="1"/>
    <col min="6" max="6" width="39.875" style="0" customWidth="1"/>
  </cols>
  <sheetData>
    <row r="1" spans="1:6" ht="24" customHeight="1">
      <c r="A1" s="60" t="s">
        <v>379</v>
      </c>
      <c r="B1" s="60"/>
      <c r="C1" s="60"/>
      <c r="D1" s="60"/>
      <c r="E1" s="61"/>
      <c r="F1" s="60"/>
    </row>
    <row r="2" spans="1:6" ht="14.25">
      <c r="A2" s="62" t="s">
        <v>380</v>
      </c>
      <c r="B2" s="63"/>
      <c r="C2" s="63"/>
      <c r="D2" s="64"/>
      <c r="E2" s="65"/>
      <c r="F2" s="66"/>
    </row>
    <row r="3" spans="1:6" ht="25.5" customHeight="1">
      <c r="A3" s="67" t="s">
        <v>77</v>
      </c>
      <c r="B3" s="67"/>
      <c r="C3" s="67"/>
      <c r="D3" s="67" t="s">
        <v>78</v>
      </c>
      <c r="E3" s="68"/>
      <c r="F3" s="67"/>
    </row>
    <row r="4" spans="1:6" ht="19.5" customHeight="1">
      <c r="A4" s="67" t="s">
        <v>79</v>
      </c>
      <c r="B4" s="67" t="s">
        <v>141</v>
      </c>
      <c r="C4" s="67" t="s">
        <v>85</v>
      </c>
      <c r="D4" s="67" t="s">
        <v>79</v>
      </c>
      <c r="E4" s="67" t="s">
        <v>141</v>
      </c>
      <c r="F4" s="67" t="s">
        <v>85</v>
      </c>
    </row>
    <row r="5" spans="1:6" ht="19.5" customHeight="1">
      <c r="A5" s="69" t="s">
        <v>89</v>
      </c>
      <c r="B5" s="70">
        <v>2500</v>
      </c>
      <c r="C5" s="71"/>
      <c r="D5" s="72" t="s">
        <v>90</v>
      </c>
      <c r="E5" s="70">
        <v>2500</v>
      </c>
      <c r="F5" s="72"/>
    </row>
    <row r="6" spans="1:6" ht="19.5" customHeight="1">
      <c r="A6" s="69" t="s">
        <v>94</v>
      </c>
      <c r="B6" s="73">
        <f>SUM(B7:B9)</f>
        <v>30000</v>
      </c>
      <c r="C6" s="71"/>
      <c r="D6" s="74" t="s">
        <v>95</v>
      </c>
      <c r="E6" s="70">
        <f>E7+E19+E20</f>
        <v>30000</v>
      </c>
      <c r="F6" s="72" t="s">
        <v>96</v>
      </c>
    </row>
    <row r="7" spans="1:6" ht="19.5" customHeight="1">
      <c r="A7" s="69" t="s">
        <v>97</v>
      </c>
      <c r="B7" s="73">
        <f>19500+10000</f>
        <v>29500</v>
      </c>
      <c r="C7" s="71" t="s">
        <v>345</v>
      </c>
      <c r="D7" s="72" t="s">
        <v>98</v>
      </c>
      <c r="E7" s="70">
        <f>SUM(E8:E18)</f>
        <v>12182</v>
      </c>
      <c r="F7" s="72"/>
    </row>
    <row r="8" spans="1:6" ht="19.5" customHeight="1">
      <c r="A8" s="69" t="s">
        <v>381</v>
      </c>
      <c r="B8" s="73">
        <v>500</v>
      </c>
      <c r="C8" s="75" t="s">
        <v>346</v>
      </c>
      <c r="D8" s="76" t="s">
        <v>382</v>
      </c>
      <c r="E8" s="70">
        <f>3500-230+92</f>
        <v>3362</v>
      </c>
      <c r="F8" s="72" t="s">
        <v>383</v>
      </c>
    </row>
    <row r="9" spans="1:6" ht="19.5" customHeight="1">
      <c r="A9" s="69" t="s">
        <v>384</v>
      </c>
      <c r="B9" s="73"/>
      <c r="C9" s="75"/>
      <c r="D9" s="72" t="s">
        <v>385</v>
      </c>
      <c r="E9" s="70">
        <v>3000</v>
      </c>
      <c r="F9" s="72" t="s">
        <v>386</v>
      </c>
    </row>
    <row r="10" spans="1:6" ht="19.5" customHeight="1">
      <c r="A10" s="69"/>
      <c r="B10" s="73"/>
      <c r="C10" s="75"/>
      <c r="D10" s="72" t="s">
        <v>387</v>
      </c>
      <c r="E10" s="70">
        <v>500</v>
      </c>
      <c r="F10" s="72" t="s">
        <v>388</v>
      </c>
    </row>
    <row r="11" spans="1:6" ht="28.5" customHeight="1">
      <c r="A11" s="69"/>
      <c r="B11" s="73"/>
      <c r="C11" s="75"/>
      <c r="D11" s="72" t="s">
        <v>389</v>
      </c>
      <c r="E11" s="70">
        <v>400</v>
      </c>
      <c r="F11" s="72" t="s">
        <v>390</v>
      </c>
    </row>
    <row r="12" spans="1:6" ht="42" customHeight="1">
      <c r="A12" s="75"/>
      <c r="B12" s="75"/>
      <c r="C12" s="75"/>
      <c r="D12" s="72" t="s">
        <v>391</v>
      </c>
      <c r="E12" s="70">
        <v>1500</v>
      </c>
      <c r="F12" s="72" t="s">
        <v>392</v>
      </c>
    </row>
    <row r="13" spans="1:6" ht="24" customHeight="1">
      <c r="A13" s="75"/>
      <c r="B13" s="75"/>
      <c r="C13" s="75"/>
      <c r="D13" s="72" t="s">
        <v>393</v>
      </c>
      <c r="E13" s="70">
        <v>220</v>
      </c>
      <c r="F13" s="72"/>
    </row>
    <row r="14" spans="1:6" ht="96.75" customHeight="1">
      <c r="A14" s="75"/>
      <c r="B14" s="75"/>
      <c r="C14" s="75"/>
      <c r="D14" s="72" t="s">
        <v>394</v>
      </c>
      <c r="E14" s="70">
        <v>200</v>
      </c>
      <c r="F14" s="77" t="s">
        <v>395</v>
      </c>
    </row>
    <row r="15" spans="1:6" ht="18.75" customHeight="1">
      <c r="A15" s="75"/>
      <c r="B15" s="75"/>
      <c r="C15" s="75"/>
      <c r="D15" s="72" t="s">
        <v>396</v>
      </c>
      <c r="E15" s="70">
        <v>500</v>
      </c>
      <c r="F15" s="72"/>
    </row>
    <row r="16" spans="1:6" ht="34.5" customHeight="1">
      <c r="A16" s="75"/>
      <c r="B16" s="75"/>
      <c r="C16" s="75"/>
      <c r="D16" s="72" t="s">
        <v>397</v>
      </c>
      <c r="E16" s="70">
        <v>1000</v>
      </c>
      <c r="F16" s="72" t="s">
        <v>398</v>
      </c>
    </row>
    <row r="17" spans="1:6" ht="21.75" customHeight="1">
      <c r="A17" s="75"/>
      <c r="B17" s="75"/>
      <c r="C17" s="75"/>
      <c r="D17" s="72" t="s">
        <v>399</v>
      </c>
      <c r="E17" s="70">
        <v>1000</v>
      </c>
      <c r="F17" s="72" t="s">
        <v>400</v>
      </c>
    </row>
    <row r="18" spans="1:6" ht="19.5" customHeight="1">
      <c r="A18" s="75"/>
      <c r="B18" s="75"/>
      <c r="C18" s="75"/>
      <c r="D18" s="72" t="s">
        <v>401</v>
      </c>
      <c r="E18" s="70">
        <v>500</v>
      </c>
      <c r="F18" s="72"/>
    </row>
    <row r="19" spans="1:6" ht="19.5" customHeight="1">
      <c r="A19" s="78"/>
      <c r="B19" s="73"/>
      <c r="C19" s="75"/>
      <c r="D19" s="72" t="s">
        <v>117</v>
      </c>
      <c r="E19" s="70">
        <v>1408</v>
      </c>
      <c r="F19" s="72"/>
    </row>
    <row r="20" spans="1:6" ht="19.5" customHeight="1">
      <c r="A20" s="78"/>
      <c r="B20" s="73"/>
      <c r="C20" s="75"/>
      <c r="D20" s="72" t="s">
        <v>118</v>
      </c>
      <c r="E20" s="70">
        <f>6480+930+10000-1000</f>
        <v>16410</v>
      </c>
      <c r="F20" s="72"/>
    </row>
    <row r="21" spans="1:6" ht="19.5" customHeight="1">
      <c r="A21" s="71" t="s">
        <v>119</v>
      </c>
      <c r="B21" s="73">
        <f>B5+B6</f>
        <v>32500</v>
      </c>
      <c r="C21" s="75"/>
      <c r="D21" s="71" t="s">
        <v>120</v>
      </c>
      <c r="E21" s="70">
        <f>E6+E5</f>
        <v>32500</v>
      </c>
      <c r="F21" s="71"/>
    </row>
  </sheetData>
  <sheetProtection/>
  <mergeCells count="3">
    <mergeCell ref="A1:F1"/>
    <mergeCell ref="A3:C3"/>
    <mergeCell ref="D3:F3"/>
  </mergeCells>
  <printOptions horizontalCentered="1"/>
  <pageMargins left="0.66875" right="0.66875" top="0.7868055555555555" bottom="0.39305555555555555" header="0.5" footer="0.5"/>
  <pageSetup horizontalDpi="600" verticalDpi="600" orientation="landscape" paperSize="9" scale="87"/>
</worksheet>
</file>

<file path=xl/worksheets/sheet16.xml><?xml version="1.0" encoding="utf-8"?>
<worksheet xmlns="http://schemas.openxmlformats.org/spreadsheetml/2006/main" xmlns:r="http://schemas.openxmlformats.org/officeDocument/2006/relationships">
  <sheetPr>
    <tabColor rgb="FF00B0F0"/>
  </sheetPr>
  <dimension ref="A1:L18"/>
  <sheetViews>
    <sheetView showZeros="0" view="pageBreakPreview" zoomScaleSheetLayoutView="100" workbookViewId="0" topLeftCell="C1">
      <selection activeCell="H18" sqref="H18"/>
    </sheetView>
  </sheetViews>
  <sheetFormatPr defaultColWidth="9.00390625" defaultRowHeight="14.25"/>
  <cols>
    <col min="1" max="1" width="20.25390625" style="0" customWidth="1"/>
    <col min="6" max="6" width="21.50390625" style="0" customWidth="1"/>
  </cols>
  <sheetData>
    <row r="1" spans="1:10" ht="28.5">
      <c r="A1" s="50" t="s">
        <v>402</v>
      </c>
      <c r="B1" s="50"/>
      <c r="C1" s="50"/>
      <c r="D1" s="50"/>
      <c r="E1" s="50"/>
      <c r="F1" s="50"/>
      <c r="G1" s="50"/>
      <c r="H1" s="50"/>
      <c r="I1" s="50"/>
      <c r="J1" s="50"/>
    </row>
    <row r="2" spans="1:10" ht="14.25">
      <c r="A2" s="51" t="s">
        <v>403</v>
      </c>
      <c r="B2" s="52"/>
      <c r="C2" s="52"/>
      <c r="D2" s="52"/>
      <c r="E2" s="52"/>
      <c r="F2" s="52"/>
      <c r="G2" s="52"/>
      <c r="H2" s="52"/>
      <c r="I2" s="59" t="s">
        <v>2</v>
      </c>
      <c r="J2" s="59"/>
    </row>
    <row r="3" spans="1:10" ht="63.75" customHeight="1">
      <c r="A3" s="53" t="s">
        <v>77</v>
      </c>
      <c r="B3" s="53"/>
      <c r="C3" s="53"/>
      <c r="D3" s="53"/>
      <c r="E3" s="53"/>
      <c r="F3" s="53" t="s">
        <v>130</v>
      </c>
      <c r="G3" s="53"/>
      <c r="H3" s="53"/>
      <c r="I3" s="53"/>
      <c r="J3" s="53"/>
    </row>
    <row r="4" spans="1:10" ht="51" customHeight="1">
      <c r="A4" s="53" t="s">
        <v>79</v>
      </c>
      <c r="B4" s="53" t="s">
        <v>131</v>
      </c>
      <c r="C4" s="53" t="s">
        <v>132</v>
      </c>
      <c r="D4" s="53" t="s">
        <v>84</v>
      </c>
      <c r="E4" s="53" t="s">
        <v>85</v>
      </c>
      <c r="F4" s="53" t="s">
        <v>79</v>
      </c>
      <c r="G4" s="53" t="s">
        <v>131</v>
      </c>
      <c r="H4" s="53" t="s">
        <v>132</v>
      </c>
      <c r="I4" s="53" t="s">
        <v>84</v>
      </c>
      <c r="J4" s="53" t="s">
        <v>85</v>
      </c>
    </row>
    <row r="5" spans="1:10" ht="51" customHeight="1">
      <c r="A5" s="53" t="s">
        <v>133</v>
      </c>
      <c r="B5" s="54">
        <f>B6</f>
        <v>80</v>
      </c>
      <c r="C5" s="54"/>
      <c r="D5" s="54"/>
      <c r="E5" s="55"/>
      <c r="F5" s="53" t="s">
        <v>134</v>
      </c>
      <c r="G5" s="54">
        <f>G6</f>
        <v>80</v>
      </c>
      <c r="H5" s="54"/>
      <c r="I5" s="54"/>
      <c r="J5" s="55"/>
    </row>
    <row r="6" spans="1:10" ht="51" customHeight="1">
      <c r="A6" s="56" t="s">
        <v>135</v>
      </c>
      <c r="B6" s="57">
        <v>80</v>
      </c>
      <c r="C6" s="57"/>
      <c r="D6" s="57"/>
      <c r="E6" s="58"/>
      <c r="F6" s="56" t="s">
        <v>136</v>
      </c>
      <c r="G6" s="54">
        <v>80</v>
      </c>
      <c r="H6" s="54"/>
      <c r="I6" s="54"/>
      <c r="J6" s="55"/>
    </row>
    <row r="8" ht="21.75" customHeight="1"/>
    <row r="9" ht="21.75" customHeight="1"/>
    <row r="10" ht="21.75" customHeight="1"/>
    <row r="11" ht="21.75" customHeight="1">
      <c r="L11" t="s">
        <v>137</v>
      </c>
    </row>
    <row r="12" ht="21.75" customHeight="1"/>
    <row r="13" ht="21.75" customHeight="1"/>
    <row r="14" ht="21.75" customHeight="1"/>
    <row r="15" ht="21.75" customHeight="1"/>
    <row r="16" ht="21.75" customHeight="1"/>
    <row r="17" ht="21.75" customHeight="1"/>
    <row r="18" ht="21.75" customHeight="1">
      <c r="G18" t="s">
        <v>138</v>
      </c>
    </row>
  </sheetData>
  <sheetProtection/>
  <mergeCells count="4">
    <mergeCell ref="A1:J1"/>
    <mergeCell ref="I2:J2"/>
    <mergeCell ref="A3:E3"/>
    <mergeCell ref="F3:J3"/>
  </mergeCells>
  <printOptions horizontalCentered="1"/>
  <pageMargins left="0.7868055555555555" right="0.5902777777777778" top="1.1805555555555556" bottom="0.6298611111111111" header="0.2791666666666667" footer="0.35"/>
  <pageSetup firstPageNumber="22"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sheetPr>
    <tabColor rgb="FF00B050"/>
  </sheetPr>
  <dimension ref="A1:J12"/>
  <sheetViews>
    <sheetView showZeros="0" workbookViewId="0" topLeftCell="A1">
      <selection activeCell="G6" sqref="G6"/>
    </sheetView>
  </sheetViews>
  <sheetFormatPr defaultColWidth="8.75390625" defaultRowHeight="30.75" customHeight="1"/>
  <cols>
    <col min="1" max="1" width="18.625" style="27" customWidth="1"/>
    <col min="2" max="2" width="12.375" style="27" customWidth="1"/>
    <col min="3" max="3" width="7.50390625" style="27" customWidth="1"/>
    <col min="4" max="4" width="9.625" style="27" customWidth="1"/>
    <col min="5" max="5" width="13.75390625" style="27" customWidth="1"/>
    <col min="6" max="6" width="19.125" style="27" customWidth="1"/>
    <col min="7" max="7" width="12.00390625" style="27" customWidth="1"/>
    <col min="8" max="8" width="7.75390625" style="27" customWidth="1"/>
    <col min="9" max="9" width="7.25390625" style="27" customWidth="1"/>
    <col min="10" max="10" width="12.875" style="27" customWidth="1"/>
    <col min="11" max="32" width="9.00390625" style="27" bestFit="1" customWidth="1"/>
    <col min="33" max="16384" width="8.75390625" style="27" customWidth="1"/>
  </cols>
  <sheetData>
    <row r="1" spans="1:10" ht="51.75" customHeight="1">
      <c r="A1" s="29" t="s">
        <v>404</v>
      </c>
      <c r="B1" s="29"/>
      <c r="C1" s="29"/>
      <c r="D1" s="29"/>
      <c r="E1" s="29"/>
      <c r="F1" s="29"/>
      <c r="G1" s="29"/>
      <c r="H1" s="29"/>
      <c r="I1" s="29"/>
      <c r="J1" s="29"/>
    </row>
    <row r="2" spans="1:10" ht="21" customHeight="1">
      <c r="A2" s="30" t="s">
        <v>405</v>
      </c>
      <c r="B2" s="35"/>
      <c r="C2" s="35"/>
      <c r="D2" s="35"/>
      <c r="E2" s="35"/>
      <c r="I2" s="47"/>
      <c r="J2" s="48" t="s">
        <v>2</v>
      </c>
    </row>
    <row r="3" spans="1:10" ht="25.5" customHeight="1">
      <c r="A3" s="36" t="s">
        <v>77</v>
      </c>
      <c r="B3" s="36"/>
      <c r="C3" s="36"/>
      <c r="D3" s="36"/>
      <c r="E3" s="36"/>
      <c r="F3" s="36" t="s">
        <v>78</v>
      </c>
      <c r="G3" s="36"/>
      <c r="H3" s="36"/>
      <c r="I3" s="36"/>
      <c r="J3" s="36"/>
    </row>
    <row r="4" spans="1:10" ht="46.5" customHeight="1">
      <c r="A4" s="36" t="s">
        <v>79</v>
      </c>
      <c r="B4" s="36" t="s">
        <v>141</v>
      </c>
      <c r="C4" s="36" t="s">
        <v>142</v>
      </c>
      <c r="D4" s="36" t="s">
        <v>84</v>
      </c>
      <c r="E4" s="36" t="s">
        <v>144</v>
      </c>
      <c r="F4" s="36" t="s">
        <v>79</v>
      </c>
      <c r="G4" s="36" t="s">
        <v>141</v>
      </c>
      <c r="H4" s="36" t="s">
        <v>142</v>
      </c>
      <c r="I4" s="36" t="s">
        <v>84</v>
      </c>
      <c r="J4" s="36" t="s">
        <v>144</v>
      </c>
    </row>
    <row r="5" spans="1:10" ht="57.75" customHeight="1">
      <c r="A5" s="37" t="s">
        <v>146</v>
      </c>
      <c r="B5" s="38">
        <f>'[3]表十九'!B4</f>
        <v>20992.54</v>
      </c>
      <c r="C5" s="36"/>
      <c r="D5" s="24"/>
      <c r="E5" s="24"/>
      <c r="F5" s="37" t="s">
        <v>147</v>
      </c>
      <c r="G5" s="38">
        <f>'[3]表十九'!B10</f>
        <v>19865.53</v>
      </c>
      <c r="H5" s="36"/>
      <c r="I5" s="49"/>
      <c r="J5" s="36"/>
    </row>
    <row r="6" spans="1:10" ht="57.75" customHeight="1">
      <c r="A6" s="39" t="s">
        <v>149</v>
      </c>
      <c r="B6" s="38">
        <v>1287.91</v>
      </c>
      <c r="C6" s="36"/>
      <c r="D6" s="24"/>
      <c r="E6" s="24"/>
      <c r="F6" s="39" t="s">
        <v>150</v>
      </c>
      <c r="G6" s="38">
        <v>1806</v>
      </c>
      <c r="H6" s="36"/>
      <c r="I6" s="49"/>
      <c r="J6" s="36"/>
    </row>
    <row r="7" spans="1:10" ht="57.75" customHeight="1">
      <c r="A7" s="39" t="s">
        <v>151</v>
      </c>
      <c r="B7" s="40">
        <v>10356.94</v>
      </c>
      <c r="C7" s="41"/>
      <c r="D7" s="42"/>
      <c r="E7" s="42"/>
      <c r="F7" s="43" t="s">
        <v>152</v>
      </c>
      <c r="G7" s="40">
        <v>7319.24</v>
      </c>
      <c r="H7" s="36"/>
      <c r="I7" s="49"/>
      <c r="J7" s="36"/>
    </row>
    <row r="8" spans="1:10" ht="57.75" customHeight="1">
      <c r="A8" s="36" t="s">
        <v>119</v>
      </c>
      <c r="B8" s="38">
        <f>SUM(B5:B7)</f>
        <v>32637.39</v>
      </c>
      <c r="C8" s="44"/>
      <c r="D8" s="44"/>
      <c r="E8" s="36"/>
      <c r="F8" s="36" t="s">
        <v>120</v>
      </c>
      <c r="G8" s="38">
        <f>SUM(G5:G7)</f>
        <v>28990.769999999997</v>
      </c>
      <c r="H8" s="44"/>
      <c r="I8" s="44"/>
      <c r="J8" s="36"/>
    </row>
    <row r="9" spans="1:10" ht="57.75" customHeight="1">
      <c r="A9" s="36" t="s">
        <v>124</v>
      </c>
      <c r="B9" s="38">
        <v>27732.08</v>
      </c>
      <c r="C9" s="44"/>
      <c r="D9" s="44"/>
      <c r="E9" s="36"/>
      <c r="F9" s="45" t="s">
        <v>125</v>
      </c>
      <c r="G9" s="46">
        <f>B8+B9-G8</f>
        <v>31378.700000000004</v>
      </c>
      <c r="H9" s="44"/>
      <c r="I9" s="44"/>
      <c r="J9" s="36"/>
    </row>
    <row r="10" ht="30" customHeight="1"/>
    <row r="11" spans="2:7" ht="30.75" customHeight="1" hidden="1">
      <c r="B11" s="27">
        <f>'表十九'!E14+'表二十'!E15+'表二十一'!E18</f>
        <v>27732.083</v>
      </c>
      <c r="G11" s="27">
        <f>'表十九'!B15+'表二十'!B16+'表二十一'!B19</f>
        <v>0</v>
      </c>
    </row>
    <row r="12" ht="30.75" customHeight="1">
      <c r="G12" s="27" t="s">
        <v>148</v>
      </c>
    </row>
  </sheetData>
  <sheetProtection formatCells="0" formatColumns="0" formatRows="0" insertColumns="0" insertRows="0" insertHyperlinks="0" deleteColumns="0" deleteRows="0" sort="0" autoFilter="0" pivotTables="0"/>
  <mergeCells count="3">
    <mergeCell ref="A1:J1"/>
    <mergeCell ref="A3:E3"/>
    <mergeCell ref="F3:J3"/>
  </mergeCells>
  <printOptions horizontalCentered="1"/>
  <pageMargins left="0.38958333333333334" right="0.38958333333333334" top="0.7868055555555555" bottom="0.6298611111111111" header="0.2791666666666667" footer="0.35"/>
  <pageSetup firstPageNumber="22" useFirstPageNumber="1" horizontalDpi="600" verticalDpi="600" orientation="landscape" paperSize="9"/>
</worksheet>
</file>

<file path=xl/worksheets/sheet18.xml><?xml version="1.0" encoding="utf-8"?>
<worksheet xmlns="http://schemas.openxmlformats.org/spreadsheetml/2006/main" xmlns:r="http://schemas.openxmlformats.org/officeDocument/2006/relationships">
  <sheetPr>
    <tabColor rgb="FF00B050"/>
  </sheetPr>
  <dimension ref="A1:F15"/>
  <sheetViews>
    <sheetView showZeros="0" workbookViewId="0" topLeftCell="A1">
      <selection activeCell="C18" sqref="C18"/>
    </sheetView>
  </sheetViews>
  <sheetFormatPr defaultColWidth="8.75390625" defaultRowHeight="14.25"/>
  <cols>
    <col min="1" max="1" width="31.625" style="28" customWidth="1"/>
    <col min="2" max="2" width="12.125" style="28" customWidth="1"/>
    <col min="3" max="4" width="8.875" style="28" customWidth="1"/>
    <col min="5" max="5" width="10.25390625" style="28" customWidth="1"/>
    <col min="6" max="6" width="48.375" style="4" customWidth="1"/>
    <col min="7" max="32" width="9.00390625" style="28" bestFit="1" customWidth="1"/>
    <col min="33" max="16384" width="8.75390625" style="28" customWidth="1"/>
  </cols>
  <sheetData>
    <row r="1" spans="1:6" ht="30" customHeight="1">
      <c r="A1" s="29" t="s">
        <v>406</v>
      </c>
      <c r="B1" s="29"/>
      <c r="C1" s="29"/>
      <c r="D1" s="29"/>
      <c r="E1" s="29"/>
      <c r="F1" s="5"/>
    </row>
    <row r="2" spans="1:6" ht="30" customHeight="1">
      <c r="A2" s="30" t="s">
        <v>407</v>
      </c>
      <c r="B2" s="5"/>
      <c r="C2" s="5"/>
      <c r="D2" s="5"/>
      <c r="E2" s="5"/>
      <c r="F2" s="23" t="s">
        <v>2</v>
      </c>
    </row>
    <row r="3" spans="1:6" ht="29.25" customHeight="1">
      <c r="A3" s="10" t="s">
        <v>79</v>
      </c>
      <c r="B3" s="10" t="s">
        <v>141</v>
      </c>
      <c r="C3" s="10" t="s">
        <v>158</v>
      </c>
      <c r="D3" s="10" t="s">
        <v>84</v>
      </c>
      <c r="E3" s="24" t="s">
        <v>272</v>
      </c>
      <c r="F3" s="24" t="s">
        <v>160</v>
      </c>
    </row>
    <row r="4" spans="1:6" ht="25.5" customHeight="1">
      <c r="A4" s="14" t="s">
        <v>146</v>
      </c>
      <c r="B4" s="15">
        <f>SUM(B5:B9)</f>
        <v>20992.54</v>
      </c>
      <c r="C4" s="15"/>
      <c r="D4" s="15"/>
      <c r="E4" s="15">
        <f aca="true" t="shared" si="0" ref="E4:E10">B4</f>
        <v>20992.54</v>
      </c>
      <c r="F4" s="31"/>
    </row>
    <row r="5" spans="1:6" ht="25.5" customHeight="1">
      <c r="A5" s="14" t="s">
        <v>161</v>
      </c>
      <c r="B5" s="15">
        <v>11545.9</v>
      </c>
      <c r="C5" s="15"/>
      <c r="D5" s="15"/>
      <c r="E5" s="15">
        <f t="shared" si="0"/>
        <v>11545.9</v>
      </c>
      <c r="F5" s="26" t="s">
        <v>408</v>
      </c>
    </row>
    <row r="6" spans="1:6" ht="25.5" customHeight="1">
      <c r="A6" s="14" t="s">
        <v>163</v>
      </c>
      <c r="B6" s="15">
        <v>2807.75</v>
      </c>
      <c r="C6" s="15"/>
      <c r="D6" s="15"/>
      <c r="E6" s="15">
        <f t="shared" si="0"/>
        <v>2807.75</v>
      </c>
      <c r="F6" s="26" t="s">
        <v>409</v>
      </c>
    </row>
    <row r="7" spans="1:6" ht="25.5" customHeight="1">
      <c r="A7" s="14" t="s">
        <v>165</v>
      </c>
      <c r="B7" s="15">
        <v>7.87</v>
      </c>
      <c r="C7" s="15"/>
      <c r="D7" s="15"/>
      <c r="E7" s="15">
        <f t="shared" si="0"/>
        <v>7.87</v>
      </c>
      <c r="F7" s="26" t="s">
        <v>410</v>
      </c>
    </row>
    <row r="8" spans="1:6" ht="27.75" customHeight="1">
      <c r="A8" s="14" t="s">
        <v>167</v>
      </c>
      <c r="B8" s="15">
        <v>70.85</v>
      </c>
      <c r="C8" s="15"/>
      <c r="D8" s="15"/>
      <c r="E8" s="15">
        <f t="shared" si="0"/>
        <v>70.85</v>
      </c>
      <c r="F8" s="26" t="s">
        <v>411</v>
      </c>
    </row>
    <row r="9" spans="1:6" s="27" customFormat="1" ht="25.5" customHeight="1">
      <c r="A9" s="14" t="s">
        <v>169</v>
      </c>
      <c r="B9" s="15">
        <v>6560.17</v>
      </c>
      <c r="C9" s="15"/>
      <c r="D9" s="15"/>
      <c r="E9" s="15">
        <f t="shared" si="0"/>
        <v>6560.17</v>
      </c>
      <c r="F9" s="26" t="s">
        <v>412</v>
      </c>
    </row>
    <row r="10" spans="1:6" ht="25.5" customHeight="1">
      <c r="A10" s="14" t="s">
        <v>173</v>
      </c>
      <c r="B10" s="15">
        <f>SUM(B11:B13)</f>
        <v>19865.53</v>
      </c>
      <c r="C10" s="15"/>
      <c r="D10" s="15"/>
      <c r="E10" s="15">
        <f t="shared" si="0"/>
        <v>19865.53</v>
      </c>
      <c r="F10" s="32"/>
    </row>
    <row r="11" spans="1:6" ht="31.5" customHeight="1">
      <c r="A11" s="14" t="s">
        <v>174</v>
      </c>
      <c r="B11" s="15">
        <v>17539.26</v>
      </c>
      <c r="C11" s="15"/>
      <c r="D11" s="15"/>
      <c r="E11" s="15">
        <v>17539.26</v>
      </c>
      <c r="F11" s="26" t="s">
        <v>175</v>
      </c>
    </row>
    <row r="12" spans="1:6" ht="25.5" customHeight="1">
      <c r="A12" s="33" t="s">
        <v>176</v>
      </c>
      <c r="B12" s="15">
        <v>623.2</v>
      </c>
      <c r="C12" s="15"/>
      <c r="D12" s="15"/>
      <c r="E12" s="15">
        <v>623.2</v>
      </c>
      <c r="F12" s="26" t="s">
        <v>413</v>
      </c>
    </row>
    <row r="13" spans="1:6" ht="25.5" customHeight="1">
      <c r="A13" s="33" t="s">
        <v>178</v>
      </c>
      <c r="B13" s="15">
        <v>1703.07</v>
      </c>
      <c r="C13" s="15"/>
      <c r="D13" s="15"/>
      <c r="E13" s="15">
        <v>1703.07</v>
      </c>
      <c r="F13" s="26" t="s">
        <v>414</v>
      </c>
    </row>
    <row r="14" spans="1:6" ht="23.25" customHeight="1">
      <c r="A14" s="33" t="s">
        <v>415</v>
      </c>
      <c r="B14" s="15"/>
      <c r="C14" s="15"/>
      <c r="D14" s="15"/>
      <c r="E14" s="15">
        <v>5414.314</v>
      </c>
      <c r="F14" s="32"/>
    </row>
    <row r="15" spans="1:6" ht="23.25" customHeight="1">
      <c r="A15" s="16" t="s">
        <v>125</v>
      </c>
      <c r="B15" s="15"/>
      <c r="C15" s="15"/>
      <c r="D15" s="15"/>
      <c r="E15" s="15">
        <f>E4-E10+E14</f>
        <v>6541.324000000002</v>
      </c>
      <c r="F15" s="34"/>
    </row>
  </sheetData>
  <sheetProtection formatCells="0" formatColumns="0" formatRows="0" insertColumns="0" insertRows="0" insertHyperlinks="0" deleteColumns="0" deleteRows="0" sort="0" autoFilter="0" pivotTables="0"/>
  <mergeCells count="1">
    <mergeCell ref="A1:F1"/>
  </mergeCells>
  <printOptions horizontalCentered="1"/>
  <pageMargins left="0.38958333333333334" right="0.38958333333333334" top="1.1416666666666666" bottom="0.6298611111111111" header="0.2791666666666667" footer="0.35"/>
  <pageSetup firstPageNumber="22" useFirstPageNumber="1" horizontalDpi="600" verticalDpi="600" orientation="landscape" paperSize="9" scale="97"/>
</worksheet>
</file>

<file path=xl/worksheets/sheet19.xml><?xml version="1.0" encoding="utf-8"?>
<worksheet xmlns="http://schemas.openxmlformats.org/spreadsheetml/2006/main" xmlns:r="http://schemas.openxmlformats.org/officeDocument/2006/relationships">
  <sheetPr>
    <tabColor rgb="FF00B050"/>
  </sheetPr>
  <dimension ref="A1:F21"/>
  <sheetViews>
    <sheetView showZeros="0" zoomScale="160" zoomScaleNormal="160" workbookViewId="0" topLeftCell="A1">
      <selection activeCell="F9" sqref="F9"/>
    </sheetView>
  </sheetViews>
  <sheetFormatPr defaultColWidth="8.75390625" defaultRowHeight="14.25"/>
  <cols>
    <col min="1" max="1" width="30.625" style="3" customWidth="1"/>
    <col min="2" max="2" width="11.875" style="3" customWidth="1"/>
    <col min="3" max="3" width="8.75390625" style="3" customWidth="1"/>
    <col min="4" max="4" width="9.25390625" style="3" customWidth="1"/>
    <col min="5" max="5" width="13.125" style="3" customWidth="1"/>
    <col min="6" max="6" width="44.375" style="3" customWidth="1"/>
    <col min="7" max="28" width="9.00390625" style="3" bestFit="1" customWidth="1"/>
    <col min="29" max="16384" width="8.75390625" style="3" customWidth="1"/>
  </cols>
  <sheetData>
    <row r="1" spans="1:6" ht="27.75" customHeight="1">
      <c r="A1" s="5" t="s">
        <v>416</v>
      </c>
      <c r="B1" s="5"/>
      <c r="C1" s="5"/>
      <c r="D1" s="5"/>
      <c r="E1" s="5"/>
      <c r="F1" s="5"/>
    </row>
    <row r="2" spans="1:6" ht="20.25" customHeight="1">
      <c r="A2" s="22" t="s">
        <v>417</v>
      </c>
      <c r="B2" s="5"/>
      <c r="C2" s="5"/>
      <c r="D2" s="5"/>
      <c r="E2" s="5"/>
      <c r="F2" s="23" t="s">
        <v>2</v>
      </c>
    </row>
    <row r="3" spans="1:6" ht="32.25" customHeight="1">
      <c r="A3" s="24" t="s">
        <v>79</v>
      </c>
      <c r="B3" s="24" t="s">
        <v>141</v>
      </c>
      <c r="C3" s="24" t="s">
        <v>418</v>
      </c>
      <c r="D3" s="24" t="s">
        <v>84</v>
      </c>
      <c r="E3" s="24" t="s">
        <v>272</v>
      </c>
      <c r="F3" s="24" t="s">
        <v>160</v>
      </c>
    </row>
    <row r="4" spans="1:6" ht="27.75" customHeight="1">
      <c r="A4" s="14" t="s">
        <v>190</v>
      </c>
      <c r="B4" s="15">
        <f>B5+B6+B7+B8+B9+B10</f>
        <v>1287.91</v>
      </c>
      <c r="C4" s="15"/>
      <c r="D4" s="15"/>
      <c r="E4" s="15">
        <f>E5+E6+E7+E8+E9+E10</f>
        <v>1287.91</v>
      </c>
      <c r="F4" s="10"/>
    </row>
    <row r="5" spans="1:6" ht="27.75" customHeight="1">
      <c r="A5" s="14" t="s">
        <v>161</v>
      </c>
      <c r="B5" s="15">
        <v>708.84</v>
      </c>
      <c r="C5" s="25"/>
      <c r="D5" s="25"/>
      <c r="E5" s="15">
        <v>708.84</v>
      </c>
      <c r="F5" s="11" t="s">
        <v>419</v>
      </c>
    </row>
    <row r="6" spans="1:6" ht="27.75" customHeight="1">
      <c r="A6" s="14" t="s">
        <v>163</v>
      </c>
      <c r="B6" s="15">
        <v>121.39</v>
      </c>
      <c r="C6" s="25"/>
      <c r="D6" s="25"/>
      <c r="E6" s="15">
        <v>121.39</v>
      </c>
      <c r="F6" s="11" t="s">
        <v>420</v>
      </c>
    </row>
    <row r="7" spans="1:6" ht="27.75" customHeight="1">
      <c r="A7" s="14" t="s">
        <v>165</v>
      </c>
      <c r="B7" s="15">
        <v>5.31</v>
      </c>
      <c r="C7" s="25"/>
      <c r="D7" s="25"/>
      <c r="E7" s="15">
        <v>5.31</v>
      </c>
      <c r="F7" s="11" t="s">
        <v>421</v>
      </c>
    </row>
    <row r="8" spans="1:6" ht="30.75" customHeight="1">
      <c r="A8" s="14" t="s">
        <v>167</v>
      </c>
      <c r="B8" s="15">
        <v>49.62</v>
      </c>
      <c r="C8" s="25"/>
      <c r="D8" s="25"/>
      <c r="E8" s="15">
        <v>49.62</v>
      </c>
      <c r="F8" s="11" t="s">
        <v>422</v>
      </c>
    </row>
    <row r="9" spans="1:6" s="17" customFormat="1" ht="27.75" customHeight="1">
      <c r="A9" s="14" t="s">
        <v>169</v>
      </c>
      <c r="B9" s="15">
        <v>398.87</v>
      </c>
      <c r="C9" s="10"/>
      <c r="D9" s="10"/>
      <c r="E9" s="15">
        <v>398.87</v>
      </c>
      <c r="F9" s="11"/>
    </row>
    <row r="10" spans="1:6" ht="27.75" customHeight="1">
      <c r="A10" s="14" t="s">
        <v>200</v>
      </c>
      <c r="B10" s="15">
        <v>3.88</v>
      </c>
      <c r="C10" s="15"/>
      <c r="D10" s="15"/>
      <c r="E10" s="15">
        <v>3.88</v>
      </c>
      <c r="F10" s="26"/>
    </row>
    <row r="11" spans="1:6" ht="27.75" customHeight="1">
      <c r="A11" s="14" t="s">
        <v>150</v>
      </c>
      <c r="B11" s="15">
        <f>B12+B13+B14</f>
        <v>1806</v>
      </c>
      <c r="C11" s="15"/>
      <c r="D11" s="15"/>
      <c r="E11" s="15">
        <f>E12+E13+E14</f>
        <v>1806</v>
      </c>
      <c r="F11" s="14"/>
    </row>
    <row r="12" spans="1:6" ht="30.75" customHeight="1">
      <c r="A12" s="14" t="s">
        <v>202</v>
      </c>
      <c r="B12" s="15">
        <v>1539</v>
      </c>
      <c r="C12" s="25"/>
      <c r="D12" s="25"/>
      <c r="E12" s="15">
        <v>1539</v>
      </c>
      <c r="F12" s="11"/>
    </row>
    <row r="13" spans="1:6" ht="24" customHeight="1">
      <c r="A13" s="14" t="s">
        <v>203</v>
      </c>
      <c r="B13" s="15">
        <v>150</v>
      </c>
      <c r="C13" s="25"/>
      <c r="D13" s="25"/>
      <c r="E13" s="15">
        <v>150</v>
      </c>
      <c r="F13" s="11"/>
    </row>
    <row r="14" spans="1:6" ht="24" customHeight="1">
      <c r="A14" s="14" t="s">
        <v>205</v>
      </c>
      <c r="B14" s="15">
        <v>117</v>
      </c>
      <c r="C14" s="25"/>
      <c r="D14" s="25"/>
      <c r="E14" s="15">
        <v>117</v>
      </c>
      <c r="F14" s="11"/>
    </row>
    <row r="15" spans="1:6" s="17" customFormat="1" ht="24" customHeight="1">
      <c r="A15" s="14" t="s">
        <v>415</v>
      </c>
      <c r="B15" s="15"/>
      <c r="C15" s="15"/>
      <c r="D15" s="15"/>
      <c r="E15" s="15">
        <v>-483.411</v>
      </c>
      <c r="F15" s="10"/>
    </row>
    <row r="16" spans="1:6" ht="24" customHeight="1">
      <c r="A16" s="16" t="s">
        <v>125</v>
      </c>
      <c r="B16" s="15"/>
      <c r="C16" s="15">
        <f>F4-F11+F15</f>
        <v>0</v>
      </c>
      <c r="D16" s="15">
        <f>G4-G11+G15</f>
        <v>0</v>
      </c>
      <c r="E16" s="15">
        <f>E4-E11+E15</f>
        <v>-1001.501</v>
      </c>
      <c r="F16" s="14"/>
    </row>
    <row r="17" spans="1:6" ht="14.25">
      <c r="A17" s="17"/>
      <c r="B17" s="17"/>
      <c r="C17" s="17"/>
      <c r="D17" s="17"/>
      <c r="E17" s="17"/>
      <c r="F17" s="17"/>
    </row>
    <row r="18" spans="1:6" ht="14.25">
      <c r="A18" s="17"/>
      <c r="B18" s="17"/>
      <c r="C18" s="17"/>
      <c r="D18" s="17"/>
      <c r="E18" s="17"/>
      <c r="F18" s="17"/>
    </row>
    <row r="19" spans="1:6" ht="14.25">
      <c r="A19" s="17"/>
      <c r="B19" s="17"/>
      <c r="C19" s="17"/>
      <c r="D19" s="17"/>
      <c r="E19" s="17"/>
      <c r="F19" s="17"/>
    </row>
    <row r="20" spans="1:6" ht="14.25">
      <c r="A20" s="17"/>
      <c r="B20" s="17"/>
      <c r="C20" s="17"/>
      <c r="D20" s="17"/>
      <c r="E20" s="17"/>
      <c r="F20" s="17"/>
    </row>
    <row r="21" spans="1:6" ht="14.25">
      <c r="A21" s="17"/>
      <c r="B21" s="17"/>
      <c r="C21" s="17"/>
      <c r="D21" s="17"/>
      <c r="E21" s="17"/>
      <c r="F21" s="17"/>
    </row>
  </sheetData>
  <sheetProtection formatCells="0" formatColumns="0" formatRows="0" insertColumns="0" insertRows="0" insertHyperlinks="0" deleteColumns="0" deleteRows="0" sort="0" autoFilter="0" pivotTables="0"/>
  <mergeCells count="1">
    <mergeCell ref="A1:F1"/>
  </mergeCells>
  <printOptions horizontalCentered="1"/>
  <pageMargins left="0.5902777777777778" right="0.5902777777777778" top="1.1416666666666666" bottom="0.6298611111111111" header="0.2791666666666667" footer="0.35"/>
  <pageSetup firstPageNumber="22"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L86"/>
  <sheetViews>
    <sheetView showZeros="0" workbookViewId="0" topLeftCell="A1">
      <pane xSplit="1" ySplit="4" topLeftCell="B20" activePane="bottomRight" state="frozen"/>
      <selection pane="bottomRight" activeCell="A24" sqref="A24"/>
    </sheetView>
  </sheetViews>
  <sheetFormatPr defaultColWidth="8.625" defaultRowHeight="14.25"/>
  <cols>
    <col min="1" max="1" width="29.75390625" style="221" customWidth="1"/>
    <col min="2" max="2" width="8.25390625" style="221" customWidth="1"/>
    <col min="3" max="3" width="7.25390625" style="221" customWidth="1"/>
    <col min="4" max="4" width="7.25390625" style="222" customWidth="1"/>
    <col min="5" max="5" width="7.125" style="305" customWidth="1"/>
    <col min="6" max="6" width="7.25390625" style="221" customWidth="1"/>
    <col min="7" max="7" width="5.625" style="221" customWidth="1"/>
    <col min="8" max="8" width="7.625" style="306" customWidth="1"/>
    <col min="9" max="9" width="7.125" style="221" customWidth="1"/>
    <col min="10" max="10" width="5.875" style="221" customWidth="1"/>
    <col min="11" max="11" width="0.37109375" style="221" customWidth="1"/>
    <col min="12" max="13" width="9.00390625" style="221" hidden="1" customWidth="1"/>
    <col min="14" max="31" width="9.00390625" style="221" customWidth="1"/>
    <col min="32" max="254" width="8.625" style="221" customWidth="1"/>
    <col min="255" max="16384" width="8.625" style="122" customWidth="1"/>
  </cols>
  <sheetData>
    <row r="1" spans="1:10" ht="29.25" customHeight="1">
      <c r="A1" s="226" t="s">
        <v>31</v>
      </c>
      <c r="B1" s="226"/>
      <c r="C1" s="226"/>
      <c r="D1" s="227"/>
      <c r="E1" s="307"/>
      <c r="F1" s="226"/>
      <c r="G1" s="226"/>
      <c r="H1" s="226"/>
      <c r="I1" s="226"/>
      <c r="J1" s="325"/>
    </row>
    <row r="2" spans="1:10" ht="21.75" customHeight="1">
      <c r="A2" s="229" t="s">
        <v>32</v>
      </c>
      <c r="B2" s="308"/>
      <c r="C2" s="308"/>
      <c r="D2" s="309"/>
      <c r="E2" s="310"/>
      <c r="F2" s="311"/>
      <c r="G2" s="311"/>
      <c r="H2" s="312"/>
      <c r="I2" s="326" t="s">
        <v>2</v>
      </c>
      <c r="J2" s="326"/>
    </row>
    <row r="3" spans="1:10" ht="38.25" customHeight="1">
      <c r="A3" s="313" t="s">
        <v>3</v>
      </c>
      <c r="B3" s="153" t="s">
        <v>4</v>
      </c>
      <c r="C3" s="314" t="s">
        <v>33</v>
      </c>
      <c r="D3" s="315" t="s">
        <v>6</v>
      </c>
      <c r="E3" s="316" t="s">
        <v>7</v>
      </c>
      <c r="F3" s="153" t="s">
        <v>34</v>
      </c>
      <c r="G3" s="153"/>
      <c r="H3" s="153" t="s">
        <v>9</v>
      </c>
      <c r="I3" s="153"/>
      <c r="J3" s="313" t="s">
        <v>35</v>
      </c>
    </row>
    <row r="4" spans="1:10" ht="25.5" customHeight="1">
      <c r="A4" s="313"/>
      <c r="B4" s="314"/>
      <c r="C4" s="314"/>
      <c r="D4" s="317"/>
      <c r="E4" s="316"/>
      <c r="F4" s="153" t="s">
        <v>10</v>
      </c>
      <c r="G4" s="153" t="s">
        <v>11</v>
      </c>
      <c r="H4" s="152" t="s">
        <v>10</v>
      </c>
      <c r="I4" s="153" t="s">
        <v>11</v>
      </c>
      <c r="J4" s="313"/>
    </row>
    <row r="5" spans="1:12" ht="28.5" customHeight="1">
      <c r="A5" s="240" t="s">
        <v>36</v>
      </c>
      <c r="B5" s="318">
        <v>21188</v>
      </c>
      <c r="C5" s="318">
        <v>26616</v>
      </c>
      <c r="D5" s="318">
        <v>26616</v>
      </c>
      <c r="E5" s="318">
        <v>23050</v>
      </c>
      <c r="F5" s="319">
        <f aca="true" t="shared" si="0" ref="F5:F17">ROUND((E5/D5)*100,1)</f>
        <v>86.6</v>
      </c>
      <c r="G5" s="320">
        <f aca="true" t="shared" si="1" ref="G5:G18">E5-D5</f>
        <v>-3566</v>
      </c>
      <c r="H5" s="321">
        <f aca="true" t="shared" si="2" ref="H5:H17">(E5/B5-1)*100</f>
        <v>8.787993203700207</v>
      </c>
      <c r="I5" s="320">
        <f aca="true" t="shared" si="3" ref="I5:I18">E5-B5</f>
        <v>1862</v>
      </c>
      <c r="J5" s="327"/>
      <c r="K5" s="221">
        <v>9553</v>
      </c>
      <c r="L5" s="221">
        <f>E5-K5</f>
        <v>13497</v>
      </c>
    </row>
    <row r="6" spans="1:12" ht="28.5" customHeight="1">
      <c r="A6" s="240" t="s">
        <v>37</v>
      </c>
      <c r="B6" s="318">
        <v>8659</v>
      </c>
      <c r="C6" s="318">
        <v>6800</v>
      </c>
      <c r="D6" s="318">
        <v>6800</v>
      </c>
      <c r="E6" s="318">
        <v>5371</v>
      </c>
      <c r="F6" s="319">
        <f t="shared" si="0"/>
        <v>79</v>
      </c>
      <c r="G6" s="320">
        <f t="shared" si="1"/>
        <v>-1429</v>
      </c>
      <c r="H6" s="321">
        <f t="shared" si="2"/>
        <v>-37.9720522000231</v>
      </c>
      <c r="I6" s="320">
        <f t="shared" si="3"/>
        <v>-3288</v>
      </c>
      <c r="J6" s="327"/>
      <c r="K6" s="221">
        <v>127</v>
      </c>
      <c r="L6" s="221">
        <f aca="true" t="shared" si="4" ref="L6:L27">E6-K6</f>
        <v>5244</v>
      </c>
    </row>
    <row r="7" spans="1:12" ht="28.5" customHeight="1">
      <c r="A7" s="240" t="s">
        <v>38</v>
      </c>
      <c r="B7" s="318">
        <v>59879</v>
      </c>
      <c r="C7" s="318">
        <v>53800</v>
      </c>
      <c r="D7" s="318">
        <v>60440</v>
      </c>
      <c r="E7" s="318">
        <v>65500</v>
      </c>
      <c r="F7" s="319">
        <f t="shared" si="0"/>
        <v>108.4</v>
      </c>
      <c r="G7" s="320">
        <f t="shared" si="1"/>
        <v>5060</v>
      </c>
      <c r="H7" s="321">
        <f t="shared" si="2"/>
        <v>9.387264316371358</v>
      </c>
      <c r="I7" s="320">
        <f t="shared" si="3"/>
        <v>5621</v>
      </c>
      <c r="J7" s="327"/>
      <c r="L7" s="221">
        <f t="shared" si="4"/>
        <v>65500</v>
      </c>
    </row>
    <row r="8" spans="1:12" ht="28.5" customHeight="1">
      <c r="A8" s="240" t="s">
        <v>39</v>
      </c>
      <c r="B8" s="318">
        <v>511</v>
      </c>
      <c r="C8" s="318">
        <v>260</v>
      </c>
      <c r="D8" s="318">
        <v>260</v>
      </c>
      <c r="E8" s="318">
        <v>591</v>
      </c>
      <c r="F8" s="319">
        <f t="shared" si="0"/>
        <v>227.3</v>
      </c>
      <c r="G8" s="320">
        <f t="shared" si="1"/>
        <v>331</v>
      </c>
      <c r="H8" s="321">
        <f t="shared" si="2"/>
        <v>15.655577299412915</v>
      </c>
      <c r="I8" s="320">
        <f t="shared" si="3"/>
        <v>80</v>
      </c>
      <c r="J8" s="327"/>
      <c r="L8" s="221">
        <f t="shared" si="4"/>
        <v>591</v>
      </c>
    </row>
    <row r="9" spans="1:12" ht="28.5" customHeight="1">
      <c r="A9" s="240" t="s">
        <v>40</v>
      </c>
      <c r="B9" s="318">
        <v>3588</v>
      </c>
      <c r="C9" s="318">
        <v>6454</v>
      </c>
      <c r="D9" s="318">
        <v>6454</v>
      </c>
      <c r="E9" s="318">
        <v>3617</v>
      </c>
      <c r="F9" s="319">
        <f t="shared" si="0"/>
        <v>56</v>
      </c>
      <c r="G9" s="320">
        <f t="shared" si="1"/>
        <v>-2837</v>
      </c>
      <c r="H9" s="321">
        <f t="shared" si="2"/>
        <v>0.8082497212932083</v>
      </c>
      <c r="I9" s="320">
        <f t="shared" si="3"/>
        <v>29</v>
      </c>
      <c r="J9" s="327"/>
      <c r="K9" s="221">
        <v>464</v>
      </c>
      <c r="L9" s="221">
        <f t="shared" si="4"/>
        <v>3153</v>
      </c>
    </row>
    <row r="10" spans="1:12" ht="28.5" customHeight="1">
      <c r="A10" s="240" t="s">
        <v>41</v>
      </c>
      <c r="B10" s="318">
        <v>29610</v>
      </c>
      <c r="C10" s="318">
        <v>19600</v>
      </c>
      <c r="D10" s="318">
        <v>32683</v>
      </c>
      <c r="E10" s="318">
        <v>36377</v>
      </c>
      <c r="F10" s="319">
        <f t="shared" si="0"/>
        <v>111.3</v>
      </c>
      <c r="G10" s="320">
        <f t="shared" si="1"/>
        <v>3694</v>
      </c>
      <c r="H10" s="321">
        <f t="shared" si="2"/>
        <v>22.853765619723077</v>
      </c>
      <c r="I10" s="320">
        <f t="shared" si="3"/>
        <v>6767</v>
      </c>
      <c r="J10" s="327"/>
      <c r="K10" s="221">
        <v>1368</v>
      </c>
      <c r="L10" s="221">
        <f t="shared" si="4"/>
        <v>35009</v>
      </c>
    </row>
    <row r="11" spans="1:12" ht="28.5" customHeight="1">
      <c r="A11" s="240" t="s">
        <v>42</v>
      </c>
      <c r="B11" s="318">
        <v>32765</v>
      </c>
      <c r="C11" s="318">
        <v>23100</v>
      </c>
      <c r="D11" s="318">
        <v>34052</v>
      </c>
      <c r="E11" s="318">
        <v>35393</v>
      </c>
      <c r="F11" s="319">
        <f t="shared" si="0"/>
        <v>103.9</v>
      </c>
      <c r="G11" s="320">
        <f t="shared" si="1"/>
        <v>1341</v>
      </c>
      <c r="H11" s="321">
        <f t="shared" si="2"/>
        <v>8.020753853197004</v>
      </c>
      <c r="I11" s="320">
        <f t="shared" si="3"/>
        <v>2628</v>
      </c>
      <c r="J11" s="327"/>
      <c r="K11" s="221">
        <v>210</v>
      </c>
      <c r="L11" s="221">
        <f t="shared" si="4"/>
        <v>35183</v>
      </c>
    </row>
    <row r="12" spans="1:12" ht="28.5" customHeight="1">
      <c r="A12" s="240" t="s">
        <v>43</v>
      </c>
      <c r="B12" s="318">
        <v>10360</v>
      </c>
      <c r="C12" s="318">
        <v>6400</v>
      </c>
      <c r="D12" s="318">
        <v>14200</v>
      </c>
      <c r="E12" s="318">
        <v>12438</v>
      </c>
      <c r="F12" s="319">
        <f t="shared" si="0"/>
        <v>87.6</v>
      </c>
      <c r="G12" s="320">
        <f t="shared" si="1"/>
        <v>-1762</v>
      </c>
      <c r="H12" s="321">
        <f t="shared" si="2"/>
        <v>20.057915057915054</v>
      </c>
      <c r="I12" s="320">
        <f t="shared" si="3"/>
        <v>2078</v>
      </c>
      <c r="J12" s="327"/>
      <c r="K12" s="221">
        <v>2355</v>
      </c>
      <c r="L12" s="221">
        <f t="shared" si="4"/>
        <v>10083</v>
      </c>
    </row>
    <row r="13" spans="1:12" ht="28.5" customHeight="1">
      <c r="A13" s="240" t="s">
        <v>44</v>
      </c>
      <c r="B13" s="318">
        <v>6143</v>
      </c>
      <c r="C13" s="318">
        <v>3630</v>
      </c>
      <c r="D13" s="318">
        <v>6010</v>
      </c>
      <c r="E13" s="318">
        <v>10810</v>
      </c>
      <c r="F13" s="319">
        <f t="shared" si="0"/>
        <v>179.9</v>
      </c>
      <c r="G13" s="320">
        <f t="shared" si="1"/>
        <v>4800</v>
      </c>
      <c r="H13" s="321">
        <f t="shared" si="2"/>
        <v>75.97265179879538</v>
      </c>
      <c r="I13" s="320">
        <f t="shared" si="3"/>
        <v>4667</v>
      </c>
      <c r="J13" s="327"/>
      <c r="K13" s="221">
        <v>6646</v>
      </c>
      <c r="L13" s="221">
        <f t="shared" si="4"/>
        <v>4164</v>
      </c>
    </row>
    <row r="14" spans="1:12" ht="28.5" customHeight="1">
      <c r="A14" s="240" t="s">
        <v>45</v>
      </c>
      <c r="B14" s="318">
        <v>50126</v>
      </c>
      <c r="C14" s="318">
        <v>37050</v>
      </c>
      <c r="D14" s="318">
        <v>48240</v>
      </c>
      <c r="E14" s="318">
        <v>54373</v>
      </c>
      <c r="F14" s="319">
        <f t="shared" si="0"/>
        <v>112.7</v>
      </c>
      <c r="G14" s="320">
        <f t="shared" si="1"/>
        <v>6133</v>
      </c>
      <c r="H14" s="321">
        <f t="shared" si="2"/>
        <v>8.472648924709736</v>
      </c>
      <c r="I14" s="320">
        <f t="shared" si="3"/>
        <v>4247</v>
      </c>
      <c r="J14" s="327"/>
      <c r="K14" s="221">
        <v>30703</v>
      </c>
      <c r="L14" s="221">
        <f t="shared" si="4"/>
        <v>23670</v>
      </c>
    </row>
    <row r="15" spans="1:12" ht="28.5" customHeight="1">
      <c r="A15" s="240" t="s">
        <v>46</v>
      </c>
      <c r="B15" s="318">
        <v>11874</v>
      </c>
      <c r="C15" s="318">
        <v>5900</v>
      </c>
      <c r="D15" s="318">
        <v>5900</v>
      </c>
      <c r="E15" s="318">
        <v>6054</v>
      </c>
      <c r="F15" s="319">
        <f t="shared" si="0"/>
        <v>102.6</v>
      </c>
      <c r="G15" s="320">
        <f t="shared" si="1"/>
        <v>154</v>
      </c>
      <c r="H15" s="321">
        <f t="shared" si="2"/>
        <v>-49.014653865588684</v>
      </c>
      <c r="I15" s="320">
        <f t="shared" si="3"/>
        <v>-5820</v>
      </c>
      <c r="J15" s="327"/>
      <c r="K15" s="221">
        <v>499</v>
      </c>
      <c r="L15" s="221">
        <f t="shared" si="4"/>
        <v>5555</v>
      </c>
    </row>
    <row r="16" spans="1:12" ht="28.5" customHeight="1">
      <c r="A16" s="240" t="s">
        <v>47</v>
      </c>
      <c r="B16" s="318">
        <v>2877</v>
      </c>
      <c r="C16" s="318">
        <v>660</v>
      </c>
      <c r="D16" s="318">
        <v>660</v>
      </c>
      <c r="E16" s="318">
        <v>1564</v>
      </c>
      <c r="F16" s="319">
        <f t="shared" si="0"/>
        <v>237</v>
      </c>
      <c r="G16" s="320">
        <f t="shared" si="1"/>
        <v>904</v>
      </c>
      <c r="H16" s="321">
        <f t="shared" si="2"/>
        <v>-45.63781717066389</v>
      </c>
      <c r="I16" s="320">
        <f t="shared" si="3"/>
        <v>-1313</v>
      </c>
      <c r="J16" s="327"/>
      <c r="L16" s="221">
        <f t="shared" si="4"/>
        <v>1564</v>
      </c>
    </row>
    <row r="17" spans="1:12" ht="28.5" customHeight="1">
      <c r="A17" s="240" t="s">
        <v>48</v>
      </c>
      <c r="B17" s="318">
        <v>1291</v>
      </c>
      <c r="C17" s="318">
        <v>600</v>
      </c>
      <c r="D17" s="318">
        <v>600</v>
      </c>
      <c r="E17" s="318">
        <v>152</v>
      </c>
      <c r="F17" s="319">
        <f t="shared" si="0"/>
        <v>25.3</v>
      </c>
      <c r="G17" s="320">
        <f t="shared" si="1"/>
        <v>-448</v>
      </c>
      <c r="H17" s="321">
        <f t="shared" si="2"/>
        <v>-88.22618125484121</v>
      </c>
      <c r="I17" s="320">
        <f t="shared" si="3"/>
        <v>-1139</v>
      </c>
      <c r="J17" s="327"/>
      <c r="L17" s="221">
        <f t="shared" si="4"/>
        <v>152</v>
      </c>
    </row>
    <row r="18" spans="1:12" ht="28.5" customHeight="1">
      <c r="A18" s="240" t="s">
        <v>49</v>
      </c>
      <c r="B18" s="318"/>
      <c r="C18" s="318"/>
      <c r="D18" s="318"/>
      <c r="E18" s="318"/>
      <c r="F18" s="319"/>
      <c r="G18" s="320">
        <f t="shared" si="1"/>
        <v>0</v>
      </c>
      <c r="H18" s="321"/>
      <c r="I18" s="320">
        <f t="shared" si="3"/>
        <v>0</v>
      </c>
      <c r="J18" s="327"/>
      <c r="L18" s="221">
        <f t="shared" si="4"/>
        <v>0</v>
      </c>
    </row>
    <row r="19" spans="1:12" ht="28.5" customHeight="1">
      <c r="A19" s="240" t="s">
        <v>50</v>
      </c>
      <c r="B19" s="318"/>
      <c r="C19" s="318"/>
      <c r="D19" s="318"/>
      <c r="E19" s="318"/>
      <c r="F19" s="319"/>
      <c r="G19" s="320"/>
      <c r="H19" s="321"/>
      <c r="I19" s="320"/>
      <c r="J19" s="327"/>
      <c r="L19" s="221">
        <f t="shared" si="4"/>
        <v>0</v>
      </c>
    </row>
    <row r="20" spans="1:12" ht="28.5" customHeight="1">
      <c r="A20" s="240" t="s">
        <v>51</v>
      </c>
      <c r="B20" s="318">
        <v>1900</v>
      </c>
      <c r="C20" s="318">
        <v>1350</v>
      </c>
      <c r="D20" s="318">
        <v>1610</v>
      </c>
      <c r="E20" s="318">
        <v>1413</v>
      </c>
      <c r="F20" s="319">
        <f>ROUND((E20/D20)*100,1)</f>
        <v>87.8</v>
      </c>
      <c r="G20" s="320">
        <f>E20-D20</f>
        <v>-197</v>
      </c>
      <c r="H20" s="321">
        <f>(E20/B20-1)*100</f>
        <v>-25.631578947368418</v>
      </c>
      <c r="I20" s="320">
        <f>E20-B20</f>
        <v>-487</v>
      </c>
      <c r="J20" s="327"/>
      <c r="K20" s="221">
        <v>125</v>
      </c>
      <c r="L20" s="221">
        <f t="shared" si="4"/>
        <v>1288</v>
      </c>
    </row>
    <row r="21" spans="1:12" ht="28.5" customHeight="1">
      <c r="A21" s="240" t="s">
        <v>52</v>
      </c>
      <c r="B21" s="318">
        <v>15528</v>
      </c>
      <c r="C21" s="318">
        <v>13370</v>
      </c>
      <c r="D21" s="318">
        <v>19065</v>
      </c>
      <c r="E21" s="318">
        <v>13565</v>
      </c>
      <c r="F21" s="319">
        <f>ROUND((E21/D21)*100,1)</f>
        <v>71.2</v>
      </c>
      <c r="G21" s="320">
        <f>E21-D21</f>
        <v>-5500</v>
      </c>
      <c r="H21" s="321">
        <f>(E21/B21-1)*100</f>
        <v>-12.64167954662545</v>
      </c>
      <c r="I21" s="320">
        <f>E21-B21</f>
        <v>-1963</v>
      </c>
      <c r="J21" s="327"/>
      <c r="K21" s="221">
        <v>2921</v>
      </c>
      <c r="L21" s="221">
        <f t="shared" si="4"/>
        <v>10644</v>
      </c>
    </row>
    <row r="22" spans="1:12" ht="28.5" customHeight="1">
      <c r="A22" s="240" t="s">
        <v>53</v>
      </c>
      <c r="B22" s="318">
        <v>370</v>
      </c>
      <c r="C22" s="318">
        <v>410</v>
      </c>
      <c r="D22" s="318">
        <v>410</v>
      </c>
      <c r="E22" s="318">
        <v>208</v>
      </c>
      <c r="F22" s="319">
        <f>ROUND((E22/D22)*100,1)</f>
        <v>50.7</v>
      </c>
      <c r="G22" s="320">
        <f>E22-D22</f>
        <v>-202</v>
      </c>
      <c r="H22" s="321">
        <f>(E22/B22-1)*100</f>
        <v>-43.78378378378378</v>
      </c>
      <c r="I22" s="320">
        <f>E22-B22</f>
        <v>-162</v>
      </c>
      <c r="J22" s="327"/>
      <c r="L22" s="221">
        <f t="shared" si="4"/>
        <v>208</v>
      </c>
    </row>
    <row r="23" spans="1:12" ht="28.5" customHeight="1">
      <c r="A23" s="240" t="s">
        <v>54</v>
      </c>
      <c r="B23" s="318"/>
      <c r="C23" s="318">
        <v>2000</v>
      </c>
      <c r="D23" s="318">
        <v>2000</v>
      </c>
      <c r="E23" s="318">
        <v>1173</v>
      </c>
      <c r="F23" s="319">
        <f>ROUND((E23/D23)*100,1)</f>
        <v>58.7</v>
      </c>
      <c r="G23" s="320"/>
      <c r="H23" s="321"/>
      <c r="I23" s="320"/>
      <c r="J23" s="327"/>
      <c r="K23" s="221">
        <v>90</v>
      </c>
      <c r="L23" s="221">
        <f t="shared" si="4"/>
        <v>1083</v>
      </c>
    </row>
    <row r="24" spans="1:12" ht="28.5" customHeight="1">
      <c r="A24" s="240" t="s">
        <v>55</v>
      </c>
      <c r="B24" s="318">
        <v>2031</v>
      </c>
      <c r="C24" s="318">
        <v>4000</v>
      </c>
      <c r="D24" s="318">
        <v>4000</v>
      </c>
      <c r="E24" s="318">
        <v>3201</v>
      </c>
      <c r="F24" s="319">
        <f>ROUND((E24/D24)*100,1)</f>
        <v>80</v>
      </c>
      <c r="G24" s="320">
        <f>E24-D24</f>
        <v>-799</v>
      </c>
      <c r="H24" s="321">
        <f>(E24/B24-1)*100</f>
        <v>57.607090103397354</v>
      </c>
      <c r="I24" s="320">
        <f>E24-B24</f>
        <v>1170</v>
      </c>
      <c r="J24" s="327"/>
      <c r="L24" s="221">
        <f t="shared" si="4"/>
        <v>3201</v>
      </c>
    </row>
    <row r="25" spans="1:12" ht="28.5" customHeight="1">
      <c r="A25" s="240" t="s">
        <v>56</v>
      </c>
      <c r="B25" s="318"/>
      <c r="C25" s="318"/>
      <c r="D25" s="322"/>
      <c r="E25" s="323">
        <v>150</v>
      </c>
      <c r="F25" s="319"/>
      <c r="G25" s="320">
        <f>E25-D25</f>
        <v>150</v>
      </c>
      <c r="H25" s="321"/>
      <c r="I25" s="320">
        <f>E25-B25</f>
        <v>150</v>
      </c>
      <c r="J25" s="327"/>
      <c r="L25" s="221">
        <f t="shared" si="4"/>
        <v>150</v>
      </c>
    </row>
    <row r="26" spans="1:12" ht="28.5" customHeight="1">
      <c r="A26" s="324" t="s">
        <v>30</v>
      </c>
      <c r="B26" s="323">
        <f>SUM(B5:B25)</f>
        <v>258700</v>
      </c>
      <c r="C26" s="323">
        <f>SUM(C5:C25)</f>
        <v>212000</v>
      </c>
      <c r="D26" s="323">
        <f>SUM(D5:D25)</f>
        <v>270000</v>
      </c>
      <c r="E26" s="323">
        <f>SUM(E5:E25)</f>
        <v>275000</v>
      </c>
      <c r="F26" s="319">
        <f>ROUND((E26/D26)*100,1)</f>
        <v>101.9</v>
      </c>
      <c r="G26" s="320">
        <f>E26-D26</f>
        <v>5000</v>
      </c>
      <c r="H26" s="321">
        <f>(E26/B26-1)*100</f>
        <v>6.30073444143795</v>
      </c>
      <c r="I26" s="320">
        <f>E26-B26</f>
        <v>16300</v>
      </c>
      <c r="J26" s="327"/>
      <c r="K26" s="221">
        <f>SUM(K5:K25)</f>
        <v>55061</v>
      </c>
      <c r="L26" s="221">
        <f t="shared" si="4"/>
        <v>219939</v>
      </c>
    </row>
    <row r="27" ht="14.25">
      <c r="H27" s="221"/>
    </row>
    <row r="28" ht="14.25">
      <c r="H28" s="221"/>
    </row>
    <row r="29" ht="14.25">
      <c r="H29" s="221"/>
    </row>
    <row r="30" ht="14.25">
      <c r="H30" s="221"/>
    </row>
    <row r="31" ht="14.25">
      <c r="H31" s="221"/>
    </row>
    <row r="32" ht="14.25">
      <c r="H32" s="221"/>
    </row>
    <row r="33" ht="14.25">
      <c r="H33" s="221"/>
    </row>
    <row r="34" ht="14.25">
      <c r="H34" s="221"/>
    </row>
    <row r="35" ht="14.25">
      <c r="H35" s="221"/>
    </row>
    <row r="36" ht="14.25">
      <c r="H36" s="221"/>
    </row>
    <row r="37" ht="14.25">
      <c r="H37" s="221"/>
    </row>
    <row r="38" ht="14.25">
      <c r="H38" s="221"/>
    </row>
    <row r="39" ht="14.25">
      <c r="H39" s="221"/>
    </row>
    <row r="40" ht="14.25">
      <c r="H40" s="221"/>
    </row>
    <row r="41" ht="14.25">
      <c r="H41" s="221"/>
    </row>
    <row r="42" ht="14.25">
      <c r="H42" s="221"/>
    </row>
    <row r="43" ht="14.25">
      <c r="H43" s="221"/>
    </row>
    <row r="44" ht="14.25">
      <c r="H44" s="221"/>
    </row>
    <row r="45" ht="14.25">
      <c r="H45" s="221"/>
    </row>
    <row r="46" ht="14.25">
      <c r="H46" s="221"/>
    </row>
    <row r="47" ht="14.25">
      <c r="H47" s="221"/>
    </row>
    <row r="48" ht="14.25">
      <c r="H48" s="221"/>
    </row>
    <row r="49" ht="14.25">
      <c r="H49" s="221"/>
    </row>
    <row r="50" ht="14.25">
      <c r="H50" s="221"/>
    </row>
    <row r="51" ht="14.25">
      <c r="H51" s="221"/>
    </row>
    <row r="52" ht="14.25">
      <c r="H52" s="221"/>
    </row>
    <row r="53" ht="14.25">
      <c r="H53" s="221"/>
    </row>
    <row r="54" ht="14.25">
      <c r="H54" s="221"/>
    </row>
    <row r="55" ht="14.25">
      <c r="H55" s="221"/>
    </row>
    <row r="56" ht="14.25">
      <c r="H56" s="221"/>
    </row>
    <row r="57" ht="14.25">
      <c r="H57" s="221"/>
    </row>
    <row r="58" ht="14.25">
      <c r="H58" s="221"/>
    </row>
    <row r="59" ht="14.25">
      <c r="H59" s="221"/>
    </row>
    <row r="60" ht="14.25">
      <c r="H60" s="221"/>
    </row>
    <row r="61" ht="14.25">
      <c r="H61" s="221"/>
    </row>
    <row r="62" ht="14.25">
      <c r="H62" s="221"/>
    </row>
    <row r="63" ht="14.25">
      <c r="H63" s="221"/>
    </row>
    <row r="64" ht="14.25">
      <c r="H64" s="221"/>
    </row>
    <row r="65" ht="14.25">
      <c r="H65" s="221"/>
    </row>
    <row r="66" ht="14.25">
      <c r="H66" s="221"/>
    </row>
    <row r="67" ht="14.25">
      <c r="H67" s="221"/>
    </row>
    <row r="68" ht="14.25">
      <c r="H68" s="221"/>
    </row>
    <row r="69" ht="14.25">
      <c r="H69" s="221"/>
    </row>
    <row r="70" ht="14.25">
      <c r="H70" s="221"/>
    </row>
    <row r="71" ht="14.25">
      <c r="H71" s="221"/>
    </row>
    <row r="72" ht="14.25">
      <c r="H72" s="221"/>
    </row>
    <row r="73" ht="14.25">
      <c r="H73" s="221"/>
    </row>
    <row r="74" ht="14.25">
      <c r="H74" s="221"/>
    </row>
    <row r="86" ht="14.25">
      <c r="B86" s="258"/>
    </row>
  </sheetData>
  <sheetProtection/>
  <mergeCells count="10">
    <mergeCell ref="A1:J1"/>
    <mergeCell ref="I2:J2"/>
    <mergeCell ref="F3:G3"/>
    <mergeCell ref="H3:I3"/>
    <mergeCell ref="A3:A4"/>
    <mergeCell ref="B3:B4"/>
    <mergeCell ref="C3:C4"/>
    <mergeCell ref="D3:D4"/>
    <mergeCell ref="E3:E4"/>
    <mergeCell ref="J3:J4"/>
  </mergeCells>
  <printOptions horizontalCentered="1"/>
  <pageMargins left="0.5902777777777778" right="0.5902777777777778" top="1.1416666666666666" bottom="0.6298611111111111" header="0.2791666666666667" footer="0.35"/>
  <pageSetup firstPageNumber="22" useFirstPageNumber="1" fitToHeight="1" fitToWidth="1" horizontalDpi="600" verticalDpi="600" orientation="portrait" paperSize="9" scale="90"/>
</worksheet>
</file>

<file path=xl/worksheets/sheet20.xml><?xml version="1.0" encoding="utf-8"?>
<worksheet xmlns="http://schemas.openxmlformats.org/spreadsheetml/2006/main" xmlns:r="http://schemas.openxmlformats.org/officeDocument/2006/relationships">
  <sheetPr>
    <tabColor rgb="FF00B050"/>
  </sheetPr>
  <dimension ref="A1:F38"/>
  <sheetViews>
    <sheetView showZeros="0" zoomScale="115" zoomScaleNormal="115" workbookViewId="0" topLeftCell="A7">
      <selection activeCell="H7" sqref="H7"/>
    </sheetView>
  </sheetViews>
  <sheetFormatPr defaultColWidth="8.75390625" defaultRowHeight="14.25"/>
  <cols>
    <col min="1" max="1" width="19.375" style="3" customWidth="1"/>
    <col min="2" max="2" width="11.375" style="4" customWidth="1"/>
    <col min="3" max="3" width="10.875" style="4" customWidth="1"/>
    <col min="4" max="4" width="7.375" style="4" customWidth="1"/>
    <col min="5" max="5" width="9.75390625" style="4" customWidth="1"/>
    <col min="6" max="6" width="65.125" style="4" customWidth="1"/>
    <col min="7" max="32" width="9.00390625" style="4" bestFit="1" customWidth="1"/>
    <col min="33" max="16384" width="8.75390625" style="4" customWidth="1"/>
  </cols>
  <sheetData>
    <row r="1" spans="1:6" ht="25.5" customHeight="1">
      <c r="A1" s="5" t="s">
        <v>423</v>
      </c>
      <c r="B1" s="5"/>
      <c r="C1" s="5"/>
      <c r="D1" s="5"/>
      <c r="E1" s="5"/>
      <c r="F1" s="5"/>
    </row>
    <row r="2" spans="1:6" s="1" customFormat="1" ht="16.5" customHeight="1">
      <c r="A2" s="6" t="s">
        <v>424</v>
      </c>
      <c r="B2" s="6"/>
      <c r="C2" s="6"/>
      <c r="D2" s="7"/>
      <c r="E2" s="8"/>
      <c r="F2" s="9" t="s">
        <v>2</v>
      </c>
    </row>
    <row r="3" spans="1:6" s="1" customFormat="1" ht="31.5" customHeight="1">
      <c r="A3" s="10" t="s">
        <v>79</v>
      </c>
      <c r="B3" s="10" t="s">
        <v>141</v>
      </c>
      <c r="C3" s="10" t="s">
        <v>142</v>
      </c>
      <c r="D3" s="10" t="s">
        <v>84</v>
      </c>
      <c r="E3" s="10" t="s">
        <v>272</v>
      </c>
      <c r="F3" s="10" t="s">
        <v>160</v>
      </c>
    </row>
    <row r="4" spans="1:6" s="1" customFormat="1" ht="45.75" customHeight="1">
      <c r="A4" s="11" t="s">
        <v>210</v>
      </c>
      <c r="B4" s="11">
        <f>SUM(B5:B11)</f>
        <v>10356.94</v>
      </c>
      <c r="C4" s="11"/>
      <c r="D4" s="11"/>
      <c r="E4" s="11">
        <f>SUM(E5:E11)</f>
        <v>10356.94</v>
      </c>
      <c r="F4" s="10"/>
    </row>
    <row r="5" spans="1:6" s="1" customFormat="1" ht="66.75" customHeight="1">
      <c r="A5" s="11" t="s">
        <v>161</v>
      </c>
      <c r="B5" s="11">
        <v>5078.41</v>
      </c>
      <c r="C5" s="11"/>
      <c r="D5" s="11"/>
      <c r="E5" s="11">
        <v>5078.41</v>
      </c>
      <c r="F5" s="11" t="s">
        <v>425</v>
      </c>
    </row>
    <row r="6" spans="1:6" s="1" customFormat="1" ht="157.5" customHeight="1">
      <c r="A6" s="11" t="s">
        <v>163</v>
      </c>
      <c r="B6" s="11">
        <v>721.77</v>
      </c>
      <c r="C6" s="11"/>
      <c r="D6" s="11"/>
      <c r="E6" s="11">
        <v>721.77</v>
      </c>
      <c r="F6" s="12" t="s">
        <v>426</v>
      </c>
    </row>
    <row r="7" spans="1:6" s="1" customFormat="1" ht="145.5" customHeight="1">
      <c r="A7" s="11" t="s">
        <v>165</v>
      </c>
      <c r="B7" s="11">
        <v>86.75</v>
      </c>
      <c r="C7" s="11"/>
      <c r="D7" s="11"/>
      <c r="E7" s="11">
        <v>86.75</v>
      </c>
      <c r="F7" s="12" t="s">
        <v>427</v>
      </c>
    </row>
    <row r="8" spans="1:6" s="1" customFormat="1" ht="234" customHeight="1">
      <c r="A8" s="11" t="s">
        <v>167</v>
      </c>
      <c r="B8" s="11">
        <v>1496.19</v>
      </c>
      <c r="C8" s="11"/>
      <c r="D8" s="11"/>
      <c r="E8" s="11">
        <v>1496.19</v>
      </c>
      <c r="F8" s="13" t="s">
        <v>428</v>
      </c>
    </row>
    <row r="9" spans="1:6" s="2" customFormat="1" ht="27" customHeight="1">
      <c r="A9" s="11" t="s">
        <v>169</v>
      </c>
      <c r="B9" s="11">
        <v>2499.32</v>
      </c>
      <c r="C9" s="11"/>
      <c r="D9" s="11"/>
      <c r="E9" s="11">
        <v>2499.32</v>
      </c>
      <c r="F9" s="11"/>
    </row>
    <row r="10" spans="1:6" s="1" customFormat="1" ht="27" customHeight="1">
      <c r="A10" s="11" t="s">
        <v>215</v>
      </c>
      <c r="B10" s="11">
        <v>465</v>
      </c>
      <c r="C10" s="11"/>
      <c r="D10" s="11"/>
      <c r="E10" s="11">
        <v>465</v>
      </c>
      <c r="F10" s="11" t="s">
        <v>429</v>
      </c>
    </row>
    <row r="11" spans="1:6" s="1" customFormat="1" ht="27" customHeight="1">
      <c r="A11" s="11" t="s">
        <v>430</v>
      </c>
      <c r="B11" s="11">
        <v>9.5</v>
      </c>
      <c r="C11" s="11"/>
      <c r="D11" s="11"/>
      <c r="E11" s="11">
        <v>9.5</v>
      </c>
      <c r="F11" s="11"/>
    </row>
    <row r="12" spans="1:6" s="1" customFormat="1" ht="33" customHeight="1">
      <c r="A12" s="11" t="s">
        <v>220</v>
      </c>
      <c r="B12" s="11">
        <f>SUM(B13:B17)</f>
        <v>7319.24</v>
      </c>
      <c r="C12" s="11"/>
      <c r="D12" s="11"/>
      <c r="E12" s="11">
        <f>SUM(E13:E17)</f>
        <v>7319.24</v>
      </c>
      <c r="F12" s="14"/>
    </row>
    <row r="13" spans="1:6" s="1" customFormat="1" ht="30" customHeight="1">
      <c r="A13" s="11" t="s">
        <v>221</v>
      </c>
      <c r="B13" s="11">
        <v>6412.91</v>
      </c>
      <c r="C13" s="11"/>
      <c r="D13" s="11"/>
      <c r="E13" s="11">
        <v>6412.91</v>
      </c>
      <c r="F13" s="11"/>
    </row>
    <row r="14" spans="1:6" s="1" customFormat="1" ht="31.5" customHeight="1">
      <c r="A14" s="11" t="s">
        <v>222</v>
      </c>
      <c r="B14" s="11">
        <v>390.79</v>
      </c>
      <c r="C14" s="11"/>
      <c r="D14" s="11"/>
      <c r="E14" s="11">
        <v>390.79</v>
      </c>
      <c r="F14" s="11"/>
    </row>
    <row r="15" spans="1:6" s="1" customFormat="1" ht="31.5" customHeight="1">
      <c r="A15" s="11" t="s">
        <v>223</v>
      </c>
      <c r="B15" s="11">
        <v>114.4</v>
      </c>
      <c r="C15" s="11"/>
      <c r="D15" s="11"/>
      <c r="E15" s="11">
        <v>114.4</v>
      </c>
      <c r="F15" s="11"/>
    </row>
    <row r="16" spans="1:6" s="1" customFormat="1" ht="31.5" customHeight="1">
      <c r="A16" s="11" t="s">
        <v>224</v>
      </c>
      <c r="B16" s="11">
        <v>391.64</v>
      </c>
      <c r="C16" s="11"/>
      <c r="D16" s="11"/>
      <c r="E16" s="11">
        <v>391.64</v>
      </c>
      <c r="F16" s="11"/>
    </row>
    <row r="17" spans="1:6" s="1" customFormat="1" ht="31.5" customHeight="1">
      <c r="A17" s="11" t="s">
        <v>225</v>
      </c>
      <c r="B17" s="11">
        <v>9.5</v>
      </c>
      <c r="C17" s="11"/>
      <c r="D17" s="11"/>
      <c r="E17" s="11">
        <v>9.5</v>
      </c>
      <c r="F17" s="11"/>
    </row>
    <row r="18" spans="1:6" s="2" customFormat="1" ht="30" customHeight="1">
      <c r="A18" s="11" t="s">
        <v>185</v>
      </c>
      <c r="B18" s="15"/>
      <c r="C18" s="11"/>
      <c r="D18" s="11"/>
      <c r="E18" s="15">
        <v>22801.18</v>
      </c>
      <c r="F18" s="10"/>
    </row>
    <row r="19" spans="1:6" s="1" customFormat="1" ht="30" customHeight="1">
      <c r="A19" s="16" t="s">
        <v>125</v>
      </c>
      <c r="B19" s="15"/>
      <c r="C19" s="14"/>
      <c r="D19" s="14"/>
      <c r="E19" s="15">
        <f>E4-E12+E18</f>
        <v>25838.88</v>
      </c>
      <c r="F19" s="14"/>
    </row>
    <row r="20" spans="1:6" ht="14.25">
      <c r="A20" s="17"/>
      <c r="B20" s="18"/>
      <c r="C20" s="18"/>
      <c r="D20" s="18"/>
      <c r="E20" s="18"/>
      <c r="F20" s="18"/>
    </row>
    <row r="21" spans="1:6" ht="14.25">
      <c r="A21" s="17"/>
      <c r="B21" s="18"/>
      <c r="C21" s="18"/>
      <c r="D21" s="18"/>
      <c r="E21" s="18"/>
      <c r="F21" s="18"/>
    </row>
    <row r="24" ht="14.25" hidden="1">
      <c r="B24" s="4">
        <f>B19+'表二十'!B16+'表十九'!B15</f>
        <v>0</v>
      </c>
    </row>
    <row r="25" ht="14.25" hidden="1">
      <c r="B25" s="19">
        <f>'表十九'!B15+'表二十'!B16+'表二十一'!B19</f>
        <v>0</v>
      </c>
    </row>
    <row r="34" ht="14.25">
      <c r="B34" s="20"/>
    </row>
    <row r="38" ht="14.25">
      <c r="B38" s="21"/>
    </row>
  </sheetData>
  <sheetProtection formatCells="0" formatColumns="0" formatRows="0" insertColumns="0" insertRows="0" insertHyperlinks="0" deleteColumns="0" deleteRows="0" sort="0" autoFilter="0" pivotTables="0"/>
  <mergeCells count="2">
    <mergeCell ref="A1:F1"/>
    <mergeCell ref="A2:C2"/>
  </mergeCells>
  <printOptions horizontalCentered="1"/>
  <pageMargins left="0.38958333333333334" right="0.38958333333333334" top="0.7868055555555555" bottom="0.7868055555555555" header="0.2791666666666667" footer="0.35"/>
  <pageSetup firstPageNumber="22" useFirstPageNumber="1" horizontalDpi="600" verticalDpi="600" orientation="landscape" paperSize="9" scale="95"/>
</worksheet>
</file>

<file path=xl/worksheets/sheet3.xml><?xml version="1.0" encoding="utf-8"?>
<worksheet xmlns="http://schemas.openxmlformats.org/spreadsheetml/2006/main" xmlns:r="http://schemas.openxmlformats.org/officeDocument/2006/relationships">
  <sheetPr>
    <tabColor rgb="FF00B0F0"/>
    <pageSetUpPr fitToPage="1"/>
  </sheetPr>
  <dimension ref="A1:V97"/>
  <sheetViews>
    <sheetView showZeros="0" workbookViewId="0" topLeftCell="A1">
      <pane xSplit="3" ySplit="4" topLeftCell="D5" activePane="bottomRight" state="frozen"/>
      <selection pane="bottomRight" activeCell="G21" sqref="G21"/>
    </sheetView>
  </sheetViews>
  <sheetFormatPr defaultColWidth="8.625" defaultRowHeight="14.25"/>
  <cols>
    <col min="1" max="1" width="23.75390625" style="220" customWidth="1"/>
    <col min="2" max="2" width="6.75390625" style="221" customWidth="1"/>
    <col min="3" max="3" width="7.875" style="221" customWidth="1"/>
    <col min="4" max="4" width="7.75390625" style="220" customWidth="1"/>
    <col min="5" max="5" width="6.75390625" style="260" customWidth="1"/>
    <col min="6" max="7" width="6.75390625" style="220" customWidth="1"/>
    <col min="8" max="8" width="7.125" style="220" customWidth="1"/>
    <col min="9" max="9" width="7.625" style="220" customWidth="1"/>
    <col min="10" max="10" width="5.00390625" style="220" customWidth="1"/>
    <col min="11" max="11" width="9.00390625" style="221" hidden="1" customWidth="1"/>
    <col min="12" max="19" width="9.00390625" style="220" hidden="1" customWidth="1"/>
    <col min="20" max="20" width="7.875" style="220" hidden="1" customWidth="1"/>
    <col min="21" max="22" width="9.00390625" style="220" hidden="1" customWidth="1"/>
    <col min="23" max="32" width="9.00390625" style="220" customWidth="1"/>
    <col min="33" max="16384" width="8.625" style="220" customWidth="1"/>
  </cols>
  <sheetData>
    <row r="1" spans="1:9" ht="34.5" customHeight="1">
      <c r="A1" s="261" t="s">
        <v>57</v>
      </c>
      <c r="B1" s="262"/>
      <c r="C1" s="262"/>
      <c r="D1" s="261"/>
      <c r="E1" s="263"/>
      <c r="F1" s="261"/>
      <c r="G1" s="261"/>
      <c r="H1" s="261"/>
      <c r="I1" s="261"/>
    </row>
    <row r="2" spans="1:9" ht="19.5" customHeight="1">
      <c r="A2" s="259" t="s">
        <v>58</v>
      </c>
      <c r="B2" s="264"/>
      <c r="C2" s="264"/>
      <c r="D2" s="259"/>
      <c r="E2" s="265"/>
      <c r="F2" s="266"/>
      <c r="G2" s="266"/>
      <c r="H2" s="266" t="s">
        <v>2</v>
      </c>
      <c r="I2" s="259"/>
    </row>
    <row r="3" spans="1:12" ht="39" customHeight="1">
      <c r="A3" s="267" t="s">
        <v>3</v>
      </c>
      <c r="B3" s="268" t="s">
        <v>4</v>
      </c>
      <c r="C3" s="268" t="s">
        <v>33</v>
      </c>
      <c r="D3" s="269" t="s">
        <v>6</v>
      </c>
      <c r="E3" s="270" t="s">
        <v>7</v>
      </c>
      <c r="F3" s="269" t="s">
        <v>34</v>
      </c>
      <c r="G3" s="269"/>
      <c r="H3" s="269" t="s">
        <v>9</v>
      </c>
      <c r="I3" s="269"/>
      <c r="K3" s="295" t="s">
        <v>59</v>
      </c>
      <c r="L3" s="296" t="s">
        <v>60</v>
      </c>
    </row>
    <row r="4" spans="1:21" ht="27" customHeight="1">
      <c r="A4" s="267"/>
      <c r="B4" s="268"/>
      <c r="C4" s="268"/>
      <c r="D4" s="269"/>
      <c r="E4" s="270"/>
      <c r="F4" s="269" t="s">
        <v>10</v>
      </c>
      <c r="G4" s="269" t="s">
        <v>11</v>
      </c>
      <c r="H4" s="269" t="s">
        <v>10</v>
      </c>
      <c r="I4" s="269" t="s">
        <v>11</v>
      </c>
      <c r="K4" s="295"/>
      <c r="L4" s="296"/>
      <c r="U4" s="220">
        <v>16</v>
      </c>
    </row>
    <row r="5" spans="1:21" ht="33" customHeight="1">
      <c r="A5" s="271" t="s">
        <v>61</v>
      </c>
      <c r="B5" s="272">
        <f>B6+B9</f>
        <v>12865</v>
      </c>
      <c r="C5" s="272">
        <f>C6+C9</f>
        <v>13900</v>
      </c>
      <c r="D5" s="272">
        <f>D6+D9</f>
        <v>12600</v>
      </c>
      <c r="E5" s="272">
        <f>E6+E9</f>
        <v>12015</v>
      </c>
      <c r="F5" s="273">
        <f aca="true" t="shared" si="0" ref="F5:F17">ROUND((E5/D5)*100,1)</f>
        <v>95.4</v>
      </c>
      <c r="G5" s="274">
        <f aca="true" t="shared" si="1" ref="G5:G17">E5-D5</f>
        <v>-585</v>
      </c>
      <c r="H5" s="273">
        <f aca="true" t="shared" si="2" ref="H5:H17">ROUND((E5/B5-1)*100,1)</f>
        <v>-6.6</v>
      </c>
      <c r="I5" s="274">
        <f aca="true" t="shared" si="3" ref="I5:I17">E5-B5</f>
        <v>-850</v>
      </c>
      <c r="K5" s="297">
        <v>17750</v>
      </c>
      <c r="L5" s="298"/>
      <c r="M5" s="298"/>
      <c r="N5" s="299"/>
      <c r="U5">
        <v>2209</v>
      </c>
    </row>
    <row r="6" spans="1:14" s="259" customFormat="1" ht="27.75" customHeight="1">
      <c r="A6" s="275" t="s">
        <v>62</v>
      </c>
      <c r="B6" s="276">
        <v>10468</v>
      </c>
      <c r="C6" s="276">
        <v>10840</v>
      </c>
      <c r="D6" s="276">
        <v>10400</v>
      </c>
      <c r="E6" s="276">
        <v>10152</v>
      </c>
      <c r="F6" s="277">
        <f t="shared" si="0"/>
        <v>97.6</v>
      </c>
      <c r="G6" s="278">
        <f t="shared" si="1"/>
        <v>-248</v>
      </c>
      <c r="H6" s="277">
        <f t="shared" si="2"/>
        <v>-3</v>
      </c>
      <c r="I6" s="278">
        <f t="shared" si="3"/>
        <v>-316</v>
      </c>
      <c r="K6" s="300">
        <v>12159</v>
      </c>
      <c r="L6" s="301"/>
      <c r="M6" s="301"/>
      <c r="N6" s="299"/>
    </row>
    <row r="7" spans="1:14" s="259" customFormat="1" ht="27.75" customHeight="1">
      <c r="A7" s="275" t="s">
        <v>14</v>
      </c>
      <c r="B7" s="276">
        <v>3640</v>
      </c>
      <c r="C7" s="279">
        <v>10840</v>
      </c>
      <c r="D7" s="279">
        <v>10400</v>
      </c>
      <c r="E7" s="279">
        <v>10152</v>
      </c>
      <c r="F7" s="280">
        <f t="shared" si="0"/>
        <v>97.6</v>
      </c>
      <c r="G7" s="280">
        <f t="shared" si="1"/>
        <v>-248</v>
      </c>
      <c r="H7" s="280">
        <f t="shared" si="2"/>
        <v>178.9</v>
      </c>
      <c r="I7" s="280">
        <f t="shared" si="3"/>
        <v>6512</v>
      </c>
      <c r="K7" s="302">
        <v>2830</v>
      </c>
      <c r="L7" s="301"/>
      <c r="M7" s="301">
        <f aca="true" t="shared" si="4" ref="M7:M14">K7-L7</f>
        <v>2830</v>
      </c>
      <c r="N7" s="303"/>
    </row>
    <row r="8" spans="1:15" s="259" customFormat="1" ht="34.5" customHeight="1">
      <c r="A8" s="281" t="s">
        <v>63</v>
      </c>
      <c r="B8" s="276">
        <v>6828</v>
      </c>
      <c r="C8" s="282"/>
      <c r="D8" s="282"/>
      <c r="E8" s="282"/>
      <c r="F8" s="283" t="e">
        <f t="shared" si="0"/>
        <v>#DIV/0!</v>
      </c>
      <c r="G8" s="283">
        <f t="shared" si="1"/>
        <v>0</v>
      </c>
      <c r="H8" s="283">
        <f t="shared" si="2"/>
        <v>-100</v>
      </c>
      <c r="I8" s="283">
        <f t="shared" si="3"/>
        <v>-6828</v>
      </c>
      <c r="K8" s="302">
        <v>9329</v>
      </c>
      <c r="L8" s="301">
        <f>160+910+889</f>
        <v>1959</v>
      </c>
      <c r="M8" s="301">
        <f t="shared" si="4"/>
        <v>7370</v>
      </c>
      <c r="N8" s="303"/>
      <c r="O8" s="259" t="s">
        <v>64</v>
      </c>
    </row>
    <row r="9" spans="1:15" s="259" customFormat="1" ht="27.75" customHeight="1">
      <c r="A9" s="284" t="s">
        <v>65</v>
      </c>
      <c r="B9" s="272">
        <f>SUM(B10:B14)</f>
        <v>2397</v>
      </c>
      <c r="C9" s="272">
        <f>SUM(C10:C14)</f>
        <v>3060</v>
      </c>
      <c r="D9" s="272">
        <f>SUM(D10:D14)</f>
        <v>2200</v>
      </c>
      <c r="E9" s="272">
        <f>SUM(E10:E14)</f>
        <v>1863</v>
      </c>
      <c r="F9" s="277">
        <f t="shared" si="0"/>
        <v>84.7</v>
      </c>
      <c r="G9" s="278">
        <f t="shared" si="1"/>
        <v>-337</v>
      </c>
      <c r="H9" s="277">
        <f t="shared" si="2"/>
        <v>-22.3</v>
      </c>
      <c r="I9" s="278">
        <f t="shared" si="3"/>
        <v>-534</v>
      </c>
      <c r="K9" s="300">
        <v>5591</v>
      </c>
      <c r="L9" s="301"/>
      <c r="M9" s="301"/>
      <c r="N9" s="304"/>
      <c r="O9" s="259" t="s">
        <v>66</v>
      </c>
    </row>
    <row r="10" spans="1:16" s="259" customFormat="1" ht="27.75" customHeight="1">
      <c r="A10" s="275" t="s">
        <v>17</v>
      </c>
      <c r="B10" s="272">
        <v>794</v>
      </c>
      <c r="C10" s="276">
        <v>750</v>
      </c>
      <c r="D10" s="276">
        <v>750</v>
      </c>
      <c r="E10" s="276">
        <v>691</v>
      </c>
      <c r="F10" s="277">
        <f t="shared" si="0"/>
        <v>92.1</v>
      </c>
      <c r="G10" s="278">
        <f t="shared" si="1"/>
        <v>-59</v>
      </c>
      <c r="H10" s="277">
        <f t="shared" si="2"/>
        <v>-13</v>
      </c>
      <c r="I10" s="278">
        <f t="shared" si="3"/>
        <v>-103</v>
      </c>
      <c r="K10" s="302">
        <v>1150</v>
      </c>
      <c r="L10" s="301"/>
      <c r="M10" s="301">
        <f t="shared" si="4"/>
        <v>1150</v>
      </c>
      <c r="N10" s="303"/>
      <c r="P10" s="259">
        <f>2055+160</f>
        <v>2215</v>
      </c>
    </row>
    <row r="11" spans="1:16" s="259" customFormat="1" ht="27.75" customHeight="1">
      <c r="A11" s="275" t="s">
        <v>18</v>
      </c>
      <c r="B11" s="272">
        <v>182</v>
      </c>
      <c r="C11" s="276">
        <v>560</v>
      </c>
      <c r="D11" s="276">
        <v>560</v>
      </c>
      <c r="E11" s="276">
        <f>400-155</f>
        <v>245</v>
      </c>
      <c r="F11" s="277">
        <f t="shared" si="0"/>
        <v>43.8</v>
      </c>
      <c r="G11" s="278">
        <f t="shared" si="1"/>
        <v>-315</v>
      </c>
      <c r="H11" s="277">
        <f t="shared" si="2"/>
        <v>34.6</v>
      </c>
      <c r="I11" s="278">
        <f t="shared" si="3"/>
        <v>63</v>
      </c>
      <c r="K11" s="302">
        <v>1700</v>
      </c>
      <c r="L11" s="301">
        <v>150</v>
      </c>
      <c r="M11" s="301">
        <f t="shared" si="4"/>
        <v>1550</v>
      </c>
      <c r="N11" s="303"/>
      <c r="O11" s="259">
        <v>255</v>
      </c>
      <c r="P11" s="259">
        <f>1800+255</f>
        <v>2055</v>
      </c>
    </row>
    <row r="12" spans="1:14" s="259" customFormat="1" ht="27.75" customHeight="1">
      <c r="A12" s="275" t="s">
        <v>19</v>
      </c>
      <c r="B12" s="272">
        <v>916</v>
      </c>
      <c r="C12" s="276">
        <v>800</v>
      </c>
      <c r="D12" s="276">
        <v>800</v>
      </c>
      <c r="E12" s="276">
        <v>737</v>
      </c>
      <c r="F12" s="277">
        <f t="shared" si="0"/>
        <v>92.1</v>
      </c>
      <c r="G12" s="278">
        <f t="shared" si="1"/>
        <v>-63</v>
      </c>
      <c r="H12" s="277">
        <f t="shared" si="2"/>
        <v>-19.5</v>
      </c>
      <c r="I12" s="278">
        <f t="shared" si="3"/>
        <v>-179</v>
      </c>
      <c r="K12" s="302">
        <v>1000</v>
      </c>
      <c r="L12" s="301"/>
      <c r="M12" s="301">
        <f t="shared" si="4"/>
        <v>1000</v>
      </c>
      <c r="N12" s="303"/>
    </row>
    <row r="13" spans="1:14" s="259" customFormat="1" ht="27.75" customHeight="1">
      <c r="A13" s="275" t="s">
        <v>20</v>
      </c>
      <c r="B13" s="272">
        <v>466</v>
      </c>
      <c r="C13" s="276">
        <v>950</v>
      </c>
      <c r="D13" s="276">
        <v>90</v>
      </c>
      <c r="E13" s="276">
        <v>126</v>
      </c>
      <c r="F13" s="277">
        <f t="shared" si="0"/>
        <v>140</v>
      </c>
      <c r="G13" s="278">
        <f t="shared" si="1"/>
        <v>36</v>
      </c>
      <c r="H13" s="277">
        <f t="shared" si="2"/>
        <v>-73</v>
      </c>
      <c r="I13" s="278">
        <f t="shared" si="3"/>
        <v>-340</v>
      </c>
      <c r="K13" s="302">
        <v>1591</v>
      </c>
      <c r="L13" s="301"/>
      <c r="M13" s="301">
        <f t="shared" si="4"/>
        <v>1591</v>
      </c>
      <c r="N13" s="303"/>
    </row>
    <row r="14" spans="1:14" s="259" customFormat="1" ht="27.75" customHeight="1">
      <c r="A14" s="275" t="s">
        <v>21</v>
      </c>
      <c r="B14" s="276">
        <v>39</v>
      </c>
      <c r="C14" s="276"/>
      <c r="D14" s="276"/>
      <c r="E14" s="276">
        <v>64</v>
      </c>
      <c r="F14" s="277"/>
      <c r="G14" s="278">
        <f t="shared" si="1"/>
        <v>64</v>
      </c>
      <c r="H14" s="277">
        <f t="shared" si="2"/>
        <v>64.1</v>
      </c>
      <c r="I14" s="278">
        <f t="shared" si="3"/>
        <v>25</v>
      </c>
      <c r="K14" s="302">
        <v>150</v>
      </c>
      <c r="L14" s="301">
        <v>106</v>
      </c>
      <c r="M14" s="301">
        <f t="shared" si="4"/>
        <v>44</v>
      </c>
      <c r="N14" s="299"/>
    </row>
    <row r="15" spans="1:11" s="259" customFormat="1" ht="33" customHeight="1">
      <c r="A15" s="285" t="s">
        <v>22</v>
      </c>
      <c r="B15" s="286">
        <v>70048</v>
      </c>
      <c r="C15" s="276">
        <v>80518</v>
      </c>
      <c r="D15" s="276">
        <v>93595</v>
      </c>
      <c r="E15" s="276">
        <v>99099</v>
      </c>
      <c r="F15" s="277">
        <f t="shared" si="0"/>
        <v>105.9</v>
      </c>
      <c r="G15" s="278">
        <f t="shared" si="1"/>
        <v>5504</v>
      </c>
      <c r="H15" s="277">
        <f t="shared" si="2"/>
        <v>41.5</v>
      </c>
      <c r="I15" s="278">
        <f t="shared" si="3"/>
        <v>29051</v>
      </c>
      <c r="K15" s="264"/>
    </row>
    <row r="16" spans="1:11" s="259" customFormat="1" ht="36" customHeight="1">
      <c r="A16" s="285" t="s">
        <v>23</v>
      </c>
      <c r="B16" s="286">
        <v>138056</v>
      </c>
      <c r="C16" s="276">
        <v>100000</v>
      </c>
      <c r="D16" s="276">
        <v>120000</v>
      </c>
      <c r="E16" s="276">
        <v>128958</v>
      </c>
      <c r="F16" s="277">
        <f t="shared" si="0"/>
        <v>107.5</v>
      </c>
      <c r="G16" s="278">
        <f t="shared" si="1"/>
        <v>8958</v>
      </c>
      <c r="H16" s="277">
        <f t="shared" si="2"/>
        <v>-6.6</v>
      </c>
      <c r="I16" s="278">
        <f t="shared" si="3"/>
        <v>-9098</v>
      </c>
      <c r="K16" s="264"/>
    </row>
    <row r="17" spans="1:11" s="259" customFormat="1" ht="30.75" customHeight="1">
      <c r="A17" s="275" t="s">
        <v>24</v>
      </c>
      <c r="B17" s="286">
        <v>1332</v>
      </c>
      <c r="C17" s="276">
        <v>13400</v>
      </c>
      <c r="D17" s="276">
        <v>11421</v>
      </c>
      <c r="E17" s="276">
        <v>1163</v>
      </c>
      <c r="F17" s="277">
        <f t="shared" si="0"/>
        <v>10.2</v>
      </c>
      <c r="G17" s="278">
        <f t="shared" si="1"/>
        <v>-10258</v>
      </c>
      <c r="H17" s="277">
        <f t="shared" si="2"/>
        <v>-12.7</v>
      </c>
      <c r="I17" s="278">
        <f t="shared" si="3"/>
        <v>-169</v>
      </c>
      <c r="K17" s="264"/>
    </row>
    <row r="18" spans="1:22" s="259" customFormat="1" ht="30.75" customHeight="1">
      <c r="A18" s="275" t="s">
        <v>67</v>
      </c>
      <c r="B18" s="286"/>
      <c r="C18" s="276">
        <v>15000</v>
      </c>
      <c r="D18" s="276">
        <v>18200</v>
      </c>
      <c r="E18" s="276">
        <v>52843</v>
      </c>
      <c r="F18" s="277">
        <f>ROUND((E19/D18)*100,1)</f>
        <v>16.7</v>
      </c>
      <c r="G18" s="278">
        <f>E19-D18</f>
        <v>-15159</v>
      </c>
      <c r="H18" s="277"/>
      <c r="I18" s="278">
        <f>E19-B18</f>
        <v>3041</v>
      </c>
      <c r="K18" s="264"/>
      <c r="T18" s="259">
        <v>52357</v>
      </c>
      <c r="V18" s="259">
        <v>2218</v>
      </c>
    </row>
    <row r="19" spans="1:20" s="259" customFormat="1" ht="30.75" customHeight="1">
      <c r="A19" s="275" t="s">
        <v>68</v>
      </c>
      <c r="B19" s="286">
        <v>2742</v>
      </c>
      <c r="C19" s="276">
        <v>2718</v>
      </c>
      <c r="D19" s="276">
        <v>3896</v>
      </c>
      <c r="E19" s="276">
        <v>3041</v>
      </c>
      <c r="F19" s="277">
        <f>ROUND((E20/D19)*100,1)</f>
        <v>882.4</v>
      </c>
      <c r="G19" s="278">
        <f>E20-D19</f>
        <v>30484</v>
      </c>
      <c r="H19" s="277">
        <f>ROUND((E20/B19-1)*100,1)</f>
        <v>1153.8</v>
      </c>
      <c r="I19" s="278">
        <f>E20-B19</f>
        <v>31638</v>
      </c>
      <c r="K19" s="264"/>
      <c r="T19" s="259">
        <v>52843</v>
      </c>
    </row>
    <row r="20" spans="1:20" s="259" customFormat="1" ht="33" customHeight="1">
      <c r="A20" s="285" t="s">
        <v>69</v>
      </c>
      <c r="B20" s="286">
        <v>10806</v>
      </c>
      <c r="C20" s="287">
        <v>5000</v>
      </c>
      <c r="D20" s="276">
        <v>34380</v>
      </c>
      <c r="E20" s="276">
        <v>34380</v>
      </c>
      <c r="F20" s="277">
        <f>ROUND((E21/D20)*100,1)</f>
        <v>0</v>
      </c>
      <c r="G20" s="278">
        <f>E20-D20</f>
        <v>0</v>
      </c>
      <c r="H20" s="277">
        <f>(E20-B20)/B20*100</f>
        <v>218.15657967795667</v>
      </c>
      <c r="I20" s="278">
        <f>E20-B20</f>
        <v>23574</v>
      </c>
      <c r="K20" s="264"/>
      <c r="T20" s="259">
        <f>T18-T19</f>
        <v>-486</v>
      </c>
    </row>
    <row r="21" spans="1:11" s="259" customFormat="1" ht="33" customHeight="1">
      <c r="A21" s="288" t="s">
        <v>28</v>
      </c>
      <c r="B21" s="286"/>
      <c r="C21" s="287"/>
      <c r="D21" s="276"/>
      <c r="E21" s="276"/>
      <c r="F21" s="277"/>
      <c r="G21" s="278"/>
      <c r="H21" s="277"/>
      <c r="I21" s="278">
        <f>E21-B21</f>
        <v>0</v>
      </c>
      <c r="K21" s="264"/>
    </row>
    <row r="22" spans="1:11" s="259" customFormat="1" ht="33" customHeight="1">
      <c r="A22" s="288" t="s">
        <v>29</v>
      </c>
      <c r="B22" s="286"/>
      <c r="C22" s="287"/>
      <c r="D22" s="276"/>
      <c r="E22" s="276">
        <v>486</v>
      </c>
      <c r="F22" s="277"/>
      <c r="G22" s="278"/>
      <c r="H22" s="277"/>
      <c r="I22" s="278"/>
      <c r="K22" s="264"/>
    </row>
    <row r="23" spans="1:11" s="259" customFormat="1" ht="31.5" customHeight="1">
      <c r="A23" s="289" t="s">
        <v>30</v>
      </c>
      <c r="B23" s="272">
        <f>B20-B19-B18+B17+B16+B15+B9+B6+B21+B22</f>
        <v>230365</v>
      </c>
      <c r="C23" s="272">
        <f>C20-C19-C18+C17+C16+C15+C9+C6+C21+C22</f>
        <v>195100</v>
      </c>
      <c r="D23" s="272">
        <f>D20-D19-D18+D17+D16+D15+D9+D6+D21+D22</f>
        <v>249900</v>
      </c>
      <c r="E23" s="272">
        <f>E20-E19-E18+E17+E16+E15+E9+E6+E21+E22</f>
        <v>220217</v>
      </c>
      <c r="F23" s="277">
        <f>ROUND((E23/D23)*100,1)</f>
        <v>88.1</v>
      </c>
      <c r="G23" s="278">
        <f>E23-D23</f>
        <v>-29683</v>
      </c>
      <c r="H23" s="277">
        <f>ROUND((E23/B23-1)*100,1)</f>
        <v>-4.4</v>
      </c>
      <c r="I23" s="278">
        <f>E23-B23</f>
        <v>-10148</v>
      </c>
      <c r="K23" s="264"/>
    </row>
    <row r="24" spans="1:9" ht="7.5" customHeight="1">
      <c r="A24" s="290"/>
      <c r="B24" s="291"/>
      <c r="C24" s="291"/>
      <c r="D24" s="292"/>
      <c r="E24" s="293"/>
      <c r="F24" s="290"/>
      <c r="G24" s="290"/>
      <c r="H24" s="290"/>
      <c r="I24" s="290"/>
    </row>
    <row r="25" spans="1:5" ht="15.75" hidden="1">
      <c r="A25" s="294" t="s">
        <v>70</v>
      </c>
      <c r="C25" s="221">
        <v>175000</v>
      </c>
      <c r="D25" s="220" t="e">
        <f>C25+#REF!</f>
        <v>#REF!</v>
      </c>
      <c r="E25" s="260" t="e">
        <f>'[1]表一'!E24-E23</f>
        <v>#REF!</v>
      </c>
    </row>
    <row r="26" ht="14.25" hidden="1">
      <c r="D26" s="220" t="e">
        <f>D25-D23</f>
        <v>#REF!</v>
      </c>
    </row>
    <row r="27" spans="5:9" ht="14.25" hidden="1">
      <c r="E27" s="260">
        <v>18400</v>
      </c>
      <c r="F27" s="220" t="e">
        <f>E27-E25</f>
        <v>#REF!</v>
      </c>
      <c r="I27" s="220">
        <f>E27+2215</f>
        <v>20615</v>
      </c>
    </row>
    <row r="28" ht="14.25" hidden="1"/>
    <row r="29" spans="5:6" ht="14.25" hidden="1">
      <c r="E29" s="260">
        <f>200000-18400</f>
        <v>181600</v>
      </c>
      <c r="F29" s="220">
        <f>E29-E23</f>
        <v>-38617</v>
      </c>
    </row>
    <row r="30" ht="14.25" hidden="1"/>
    <row r="31" ht="14.25" hidden="1">
      <c r="B31" s="221">
        <v>18991</v>
      </c>
    </row>
    <row r="32" ht="14.25" hidden="1"/>
    <row r="33" ht="14.25" hidden="1"/>
    <row r="34" ht="14.25" hidden="1">
      <c r="B34" s="221" t="e">
        <f>'[1]表一'!B24-B23</f>
        <v>#REF!</v>
      </c>
    </row>
    <row r="97" ht="14.25">
      <c r="B97" s="258"/>
    </row>
  </sheetData>
  <sheetProtection/>
  <mergeCells count="18">
    <mergeCell ref="A1:I1"/>
    <mergeCell ref="F3:G3"/>
    <mergeCell ref="H3:I3"/>
    <mergeCell ref="A24:I24"/>
    <mergeCell ref="A3:A4"/>
    <mergeCell ref="B3:B4"/>
    <mergeCell ref="C3:C4"/>
    <mergeCell ref="C7:C8"/>
    <mergeCell ref="D3:D4"/>
    <mergeCell ref="D7:D8"/>
    <mergeCell ref="E3:E4"/>
    <mergeCell ref="E7:E8"/>
    <mergeCell ref="F7:F8"/>
    <mergeCell ref="G7:G8"/>
    <mergeCell ref="H7:H8"/>
    <mergeCell ref="I7:I8"/>
    <mergeCell ref="K3:K4"/>
    <mergeCell ref="L3:L4"/>
  </mergeCells>
  <printOptions horizontalCentered="1"/>
  <pageMargins left="0.5902777777777778" right="0.5902777777777778" top="0.7868055555555555" bottom="0.7868055555555555" header="0.2791666666666667" footer="0.35"/>
  <pageSetup firstPageNumber="22" useFirstPageNumber="1"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00B0F0"/>
    <pageSetUpPr fitToPage="1"/>
  </sheetPr>
  <dimension ref="A1:P87"/>
  <sheetViews>
    <sheetView showZeros="0" workbookViewId="0" topLeftCell="A1">
      <pane xSplit="1" ySplit="4" topLeftCell="B17" activePane="bottomRight" state="frozen"/>
      <selection pane="bottomRight" activeCell="A23" sqref="A23"/>
    </sheetView>
  </sheetViews>
  <sheetFormatPr defaultColWidth="8.625" defaultRowHeight="14.25"/>
  <cols>
    <col min="1" max="1" width="27.75390625" style="220" customWidth="1"/>
    <col min="2" max="2" width="6.75390625" style="221" customWidth="1"/>
    <col min="3" max="3" width="7.50390625" style="221" customWidth="1"/>
    <col min="4" max="4" width="6.875" style="222" customWidth="1"/>
    <col min="5" max="5" width="7.50390625" style="222" customWidth="1"/>
    <col min="6" max="6" width="6.125" style="220" customWidth="1"/>
    <col min="7" max="7" width="7.625" style="220" customWidth="1"/>
    <col min="8" max="8" width="6.125" style="223" customWidth="1"/>
    <col min="9" max="9" width="7.00390625" style="220" customWidth="1"/>
    <col min="10" max="10" width="7.25390625" style="220" customWidth="1"/>
    <col min="11" max="11" width="8.875" style="224" hidden="1" customWidth="1"/>
    <col min="12" max="12" width="8.875" style="220" hidden="1" customWidth="1"/>
    <col min="13" max="13" width="8.375" style="220" customWidth="1"/>
    <col min="14" max="17" width="9.00390625" style="220" hidden="1" customWidth="1"/>
    <col min="18" max="30" width="9.00390625" style="220" customWidth="1"/>
    <col min="31" max="16384" width="8.625" style="220" customWidth="1"/>
  </cols>
  <sheetData>
    <row r="1" spans="1:10" ht="29.25" customHeight="1">
      <c r="A1" s="225" t="s">
        <v>71</v>
      </c>
      <c r="B1" s="226"/>
      <c r="C1" s="226"/>
      <c r="D1" s="227"/>
      <c r="E1" s="227"/>
      <c r="F1" s="225"/>
      <c r="G1" s="225"/>
      <c r="H1" s="225"/>
      <c r="I1" s="225"/>
      <c r="J1" s="249"/>
    </row>
    <row r="2" spans="1:10" ht="21.75" customHeight="1">
      <c r="A2" s="228" t="s">
        <v>72</v>
      </c>
      <c r="B2" s="229"/>
      <c r="C2" s="229"/>
      <c r="D2" s="230"/>
      <c r="E2" s="230"/>
      <c r="F2" s="231"/>
      <c r="G2" s="231"/>
      <c r="H2" s="232"/>
      <c r="I2" s="250" t="s">
        <v>2</v>
      </c>
      <c r="J2" s="228"/>
    </row>
    <row r="3" spans="1:11" ht="38.25" customHeight="1">
      <c r="A3" s="233" t="s">
        <v>3</v>
      </c>
      <c r="B3" s="153" t="s">
        <v>4</v>
      </c>
      <c r="C3" s="153" t="s">
        <v>33</v>
      </c>
      <c r="D3" s="234" t="s">
        <v>6</v>
      </c>
      <c r="E3" s="235" t="s">
        <v>7</v>
      </c>
      <c r="F3" s="236" t="s">
        <v>34</v>
      </c>
      <c r="G3" s="236"/>
      <c r="H3" s="237" t="s">
        <v>9</v>
      </c>
      <c r="I3" s="237"/>
      <c r="J3" s="233" t="s">
        <v>35</v>
      </c>
      <c r="K3" s="251"/>
    </row>
    <row r="4" spans="1:12" ht="23.25" customHeight="1">
      <c r="A4" s="233"/>
      <c r="B4" s="153"/>
      <c r="C4" s="153"/>
      <c r="D4" s="238"/>
      <c r="E4" s="235"/>
      <c r="F4" s="236" t="s">
        <v>10</v>
      </c>
      <c r="G4" s="236" t="s">
        <v>11</v>
      </c>
      <c r="H4" s="239" t="s">
        <v>10</v>
      </c>
      <c r="I4" s="236" t="s">
        <v>11</v>
      </c>
      <c r="J4" s="233"/>
      <c r="K4" s="252" t="s">
        <v>73</v>
      </c>
      <c r="L4" s="253" t="s">
        <v>74</v>
      </c>
    </row>
    <row r="5" spans="1:16" ht="27" customHeight="1">
      <c r="A5" s="240" t="s">
        <v>36</v>
      </c>
      <c r="B5" s="241">
        <v>13134</v>
      </c>
      <c r="C5" s="241">
        <v>22616</v>
      </c>
      <c r="D5" s="241">
        <v>22616</v>
      </c>
      <c r="E5" s="241">
        <v>13497</v>
      </c>
      <c r="F5" s="242">
        <f aca="true" t="shared" si="0" ref="F5:F17">ROUND((E5/D5)*100,1)</f>
        <v>59.7</v>
      </c>
      <c r="G5" s="241">
        <f aca="true" t="shared" si="1" ref="G5:G18">E5-D5</f>
        <v>-9119</v>
      </c>
      <c r="H5" s="242">
        <f aca="true" t="shared" si="2" ref="H5:H17">(E5/B5-1)*100</f>
        <v>2.7638190954773822</v>
      </c>
      <c r="I5" s="241">
        <f aca="true" t="shared" si="3" ref="I5:I18">E5-B5</f>
        <v>363</v>
      </c>
      <c r="J5" s="254"/>
      <c r="K5" s="255">
        <v>19689</v>
      </c>
      <c r="L5" s="256">
        <v>6425</v>
      </c>
      <c r="N5" s="220">
        <v>25084</v>
      </c>
      <c r="O5" s="220">
        <v>3600</v>
      </c>
      <c r="P5" s="220">
        <f aca="true" t="shared" si="4" ref="P5:P18">N5-O5</f>
        <v>21484</v>
      </c>
    </row>
    <row r="6" spans="1:16" ht="27" customHeight="1">
      <c r="A6" s="240" t="s">
        <v>37</v>
      </c>
      <c r="B6" s="241">
        <v>8493</v>
      </c>
      <c r="C6" s="241">
        <v>6800</v>
      </c>
      <c r="D6" s="241">
        <v>6800</v>
      </c>
      <c r="E6" s="241">
        <v>5244</v>
      </c>
      <c r="F6" s="242">
        <f t="shared" si="0"/>
        <v>77.1</v>
      </c>
      <c r="G6" s="241">
        <f t="shared" si="1"/>
        <v>-1556</v>
      </c>
      <c r="H6" s="242">
        <f t="shared" si="2"/>
        <v>-38.25503355704698</v>
      </c>
      <c r="I6" s="241">
        <f t="shared" si="3"/>
        <v>-3249</v>
      </c>
      <c r="J6" s="254"/>
      <c r="K6" s="255">
        <v>6297</v>
      </c>
      <c r="L6" s="256"/>
      <c r="N6" s="220">
        <v>6554</v>
      </c>
      <c r="P6" s="220">
        <f t="shared" si="4"/>
        <v>6554</v>
      </c>
    </row>
    <row r="7" spans="1:16" ht="27" customHeight="1">
      <c r="A7" s="240" t="s">
        <v>38</v>
      </c>
      <c r="B7" s="241">
        <v>59879</v>
      </c>
      <c r="C7" s="241">
        <v>53800</v>
      </c>
      <c r="D7" s="241">
        <v>60440</v>
      </c>
      <c r="E7" s="241">
        <v>65500</v>
      </c>
      <c r="F7" s="242">
        <f t="shared" si="0"/>
        <v>108.4</v>
      </c>
      <c r="G7" s="241">
        <f t="shared" si="1"/>
        <v>5060</v>
      </c>
      <c r="H7" s="242">
        <f t="shared" si="2"/>
        <v>9.387264316371358</v>
      </c>
      <c r="I7" s="241">
        <f t="shared" si="3"/>
        <v>5621</v>
      </c>
      <c r="J7" s="254"/>
      <c r="K7" s="255">
        <v>62083</v>
      </c>
      <c r="L7" s="256"/>
      <c r="N7" s="220">
        <v>66976</v>
      </c>
      <c r="P7" s="220">
        <f t="shared" si="4"/>
        <v>66976</v>
      </c>
    </row>
    <row r="8" spans="1:16" ht="27" customHeight="1">
      <c r="A8" s="240" t="s">
        <v>39</v>
      </c>
      <c r="B8" s="241">
        <v>511</v>
      </c>
      <c r="C8" s="241">
        <v>260</v>
      </c>
      <c r="D8" s="241">
        <v>260</v>
      </c>
      <c r="E8" s="241">
        <v>591</v>
      </c>
      <c r="F8" s="242">
        <f t="shared" si="0"/>
        <v>227.3</v>
      </c>
      <c r="G8" s="241">
        <f t="shared" si="1"/>
        <v>331</v>
      </c>
      <c r="H8" s="242">
        <f t="shared" si="2"/>
        <v>15.655577299412915</v>
      </c>
      <c r="I8" s="241">
        <f t="shared" si="3"/>
        <v>80</v>
      </c>
      <c r="J8" s="254"/>
      <c r="K8" s="255">
        <v>279</v>
      </c>
      <c r="L8" s="256"/>
      <c r="N8" s="220">
        <v>302</v>
      </c>
      <c r="P8" s="220">
        <f t="shared" si="4"/>
        <v>302</v>
      </c>
    </row>
    <row r="9" spans="1:16" ht="27" customHeight="1">
      <c r="A9" s="240" t="s">
        <v>40</v>
      </c>
      <c r="B9" s="241">
        <v>3267</v>
      </c>
      <c r="C9" s="241">
        <v>5954</v>
      </c>
      <c r="D9" s="241">
        <v>5954</v>
      </c>
      <c r="E9" s="241">
        <v>3153</v>
      </c>
      <c r="F9" s="242">
        <f t="shared" si="0"/>
        <v>53</v>
      </c>
      <c r="G9" s="241">
        <f t="shared" si="1"/>
        <v>-2801</v>
      </c>
      <c r="H9" s="243">
        <f t="shared" si="2"/>
        <v>-3.489439853076215</v>
      </c>
      <c r="I9" s="241">
        <f t="shared" si="3"/>
        <v>-114</v>
      </c>
      <c r="J9" s="254"/>
      <c r="K9" s="255">
        <f>6630</f>
        <v>6630</v>
      </c>
      <c r="L9" s="256">
        <v>600</v>
      </c>
      <c r="N9" s="220">
        <v>5807</v>
      </c>
      <c r="O9" s="220">
        <v>400</v>
      </c>
      <c r="P9" s="220">
        <f t="shared" si="4"/>
        <v>5407</v>
      </c>
    </row>
    <row r="10" spans="1:16" ht="27" customHeight="1">
      <c r="A10" s="240" t="s">
        <v>41</v>
      </c>
      <c r="B10" s="241">
        <v>27813</v>
      </c>
      <c r="C10" s="241">
        <v>19000</v>
      </c>
      <c r="D10" s="241">
        <v>30823</v>
      </c>
      <c r="E10" s="241">
        <v>35009</v>
      </c>
      <c r="F10" s="242">
        <f t="shared" si="0"/>
        <v>113.6</v>
      </c>
      <c r="G10" s="241">
        <f t="shared" si="1"/>
        <v>4186</v>
      </c>
      <c r="H10" s="243">
        <f t="shared" si="2"/>
        <v>25.872793298098017</v>
      </c>
      <c r="I10" s="241">
        <f t="shared" si="3"/>
        <v>7196</v>
      </c>
      <c r="J10" s="254"/>
      <c r="K10" s="255">
        <v>18092</v>
      </c>
      <c r="L10" s="256">
        <v>1925</v>
      </c>
      <c r="N10" s="220">
        <v>22489</v>
      </c>
      <c r="O10" s="220">
        <v>780</v>
      </c>
      <c r="P10" s="220">
        <f t="shared" si="4"/>
        <v>21709</v>
      </c>
    </row>
    <row r="11" spans="1:16" ht="27" customHeight="1">
      <c r="A11" s="240" t="s">
        <v>42</v>
      </c>
      <c r="B11" s="241">
        <v>31911</v>
      </c>
      <c r="C11" s="241">
        <v>22200</v>
      </c>
      <c r="D11" s="241">
        <v>31212</v>
      </c>
      <c r="E11" s="241">
        <v>35183</v>
      </c>
      <c r="F11" s="242">
        <f t="shared" si="0"/>
        <v>112.7</v>
      </c>
      <c r="G11" s="241">
        <f t="shared" si="1"/>
        <v>3971</v>
      </c>
      <c r="H11" s="243">
        <f t="shared" si="2"/>
        <v>10.253517595813367</v>
      </c>
      <c r="I11" s="241">
        <f t="shared" si="3"/>
        <v>3272</v>
      </c>
      <c r="J11" s="254"/>
      <c r="K11" s="255">
        <v>20933</v>
      </c>
      <c r="L11" s="256"/>
      <c r="N11" s="220">
        <v>24489</v>
      </c>
      <c r="O11" s="220">
        <v>780</v>
      </c>
      <c r="P11" s="220">
        <f t="shared" si="4"/>
        <v>23709</v>
      </c>
    </row>
    <row r="12" spans="1:16" ht="27" customHeight="1">
      <c r="A12" s="240" t="s">
        <v>43</v>
      </c>
      <c r="B12" s="241">
        <v>9688</v>
      </c>
      <c r="C12" s="241">
        <v>5800</v>
      </c>
      <c r="D12" s="241">
        <v>13600</v>
      </c>
      <c r="E12" s="241">
        <v>10083</v>
      </c>
      <c r="F12" s="242">
        <f t="shared" si="0"/>
        <v>74.1</v>
      </c>
      <c r="G12" s="241">
        <f t="shared" si="1"/>
        <v>-3517</v>
      </c>
      <c r="H12" s="243">
        <f t="shared" si="2"/>
        <v>4.0772089182493865</v>
      </c>
      <c r="I12" s="241">
        <f t="shared" si="3"/>
        <v>395</v>
      </c>
      <c r="J12" s="254"/>
      <c r="K12" s="255">
        <v>6835</v>
      </c>
      <c r="L12" s="256"/>
      <c r="N12" s="220">
        <v>6810</v>
      </c>
      <c r="O12" s="220">
        <v>100</v>
      </c>
      <c r="P12" s="220">
        <f t="shared" si="4"/>
        <v>6710</v>
      </c>
    </row>
    <row r="13" spans="1:16" ht="27" customHeight="1">
      <c r="A13" s="240" t="s">
        <v>44</v>
      </c>
      <c r="B13" s="241">
        <v>5004</v>
      </c>
      <c r="C13" s="241">
        <v>3130</v>
      </c>
      <c r="D13" s="241">
        <v>5510</v>
      </c>
      <c r="E13" s="241">
        <v>4164</v>
      </c>
      <c r="F13" s="242">
        <f t="shared" si="0"/>
        <v>75.6</v>
      </c>
      <c r="G13" s="241">
        <f t="shared" si="1"/>
        <v>-1346</v>
      </c>
      <c r="H13" s="243">
        <f t="shared" si="2"/>
        <v>-16.78657074340527</v>
      </c>
      <c r="I13" s="241">
        <f t="shared" si="3"/>
        <v>-840</v>
      </c>
      <c r="J13" s="254"/>
      <c r="K13" s="255">
        <v>1657</v>
      </c>
      <c r="L13" s="256">
        <v>1362</v>
      </c>
      <c r="N13" s="220">
        <v>5851</v>
      </c>
      <c r="O13" s="220">
        <v>730</v>
      </c>
      <c r="P13" s="220">
        <f t="shared" si="4"/>
        <v>5121</v>
      </c>
    </row>
    <row r="14" spans="1:16" ht="27" customHeight="1">
      <c r="A14" s="240" t="s">
        <v>45</v>
      </c>
      <c r="B14" s="241">
        <v>41373</v>
      </c>
      <c r="C14" s="241">
        <v>28050</v>
      </c>
      <c r="D14" s="241">
        <v>39240</v>
      </c>
      <c r="E14" s="241">
        <v>23670</v>
      </c>
      <c r="F14" s="242">
        <f t="shared" si="0"/>
        <v>60.3</v>
      </c>
      <c r="G14" s="241">
        <f t="shared" si="1"/>
        <v>-15570</v>
      </c>
      <c r="H14" s="243">
        <f t="shared" si="2"/>
        <v>-42.78877528823145</v>
      </c>
      <c r="I14" s="241">
        <f t="shared" si="3"/>
        <v>-17703</v>
      </c>
      <c r="J14" s="254"/>
      <c r="K14" s="255">
        <v>27532</v>
      </c>
      <c r="L14" s="256">
        <f>8388+450</f>
        <v>8838</v>
      </c>
      <c r="N14" s="220">
        <v>25942</v>
      </c>
      <c r="O14" s="220">
        <v>11400</v>
      </c>
      <c r="P14" s="220">
        <f t="shared" si="4"/>
        <v>14542</v>
      </c>
    </row>
    <row r="15" spans="1:16" ht="27" customHeight="1">
      <c r="A15" s="240" t="s">
        <v>46</v>
      </c>
      <c r="B15" s="241">
        <v>11511</v>
      </c>
      <c r="C15" s="241">
        <v>5700</v>
      </c>
      <c r="D15" s="241">
        <v>5700</v>
      </c>
      <c r="E15" s="241">
        <v>5555</v>
      </c>
      <c r="F15" s="242">
        <f t="shared" si="0"/>
        <v>97.5</v>
      </c>
      <c r="G15" s="241">
        <f t="shared" si="1"/>
        <v>-145</v>
      </c>
      <c r="H15" s="243">
        <f t="shared" si="2"/>
        <v>-51.74181217965425</v>
      </c>
      <c r="I15" s="241">
        <f t="shared" si="3"/>
        <v>-5956</v>
      </c>
      <c r="J15" s="254"/>
      <c r="K15" s="255">
        <v>461</v>
      </c>
      <c r="L15" s="257">
        <v>150</v>
      </c>
      <c r="N15" s="220">
        <v>537</v>
      </c>
      <c r="O15" s="220">
        <v>310</v>
      </c>
      <c r="P15" s="220">
        <f t="shared" si="4"/>
        <v>227</v>
      </c>
    </row>
    <row r="16" spans="1:16" ht="33" customHeight="1">
      <c r="A16" s="240" t="s">
        <v>47</v>
      </c>
      <c r="B16" s="241">
        <v>2851</v>
      </c>
      <c r="C16" s="241">
        <v>660</v>
      </c>
      <c r="D16" s="241">
        <v>660</v>
      </c>
      <c r="E16" s="241">
        <v>1564</v>
      </c>
      <c r="F16" s="242">
        <f t="shared" si="0"/>
        <v>237</v>
      </c>
      <c r="G16" s="241">
        <f t="shared" si="1"/>
        <v>904</v>
      </c>
      <c r="H16" s="243">
        <f t="shared" si="2"/>
        <v>-45.14205541915117</v>
      </c>
      <c r="I16" s="241">
        <f t="shared" si="3"/>
        <v>-1287</v>
      </c>
      <c r="J16" s="254"/>
      <c r="K16" s="255">
        <v>49</v>
      </c>
      <c r="N16" s="220">
        <v>232</v>
      </c>
      <c r="P16" s="220">
        <f t="shared" si="4"/>
        <v>232</v>
      </c>
    </row>
    <row r="17" spans="1:16" ht="27" customHeight="1">
      <c r="A17" s="240" t="s">
        <v>48</v>
      </c>
      <c r="B17" s="241">
        <v>1291</v>
      </c>
      <c r="C17" s="241">
        <v>600</v>
      </c>
      <c r="D17" s="241">
        <v>600</v>
      </c>
      <c r="E17" s="241">
        <v>152</v>
      </c>
      <c r="F17" s="242">
        <f t="shared" si="0"/>
        <v>25.3</v>
      </c>
      <c r="G17" s="241">
        <f t="shared" si="1"/>
        <v>-448</v>
      </c>
      <c r="H17" s="243">
        <f t="shared" si="2"/>
        <v>-88.22618125484121</v>
      </c>
      <c r="I17" s="241">
        <f t="shared" si="3"/>
        <v>-1139</v>
      </c>
      <c r="J17" s="254"/>
      <c r="K17" s="255">
        <v>65</v>
      </c>
      <c r="N17" s="220">
        <v>124</v>
      </c>
      <c r="P17" s="220">
        <f t="shared" si="4"/>
        <v>124</v>
      </c>
    </row>
    <row r="18" spans="1:16" ht="27" customHeight="1">
      <c r="A18" s="240" t="s">
        <v>49</v>
      </c>
      <c r="B18" s="241">
        <v>0</v>
      </c>
      <c r="C18" s="241"/>
      <c r="D18" s="241"/>
      <c r="E18" s="241">
        <v>0</v>
      </c>
      <c r="F18" s="242"/>
      <c r="G18" s="241">
        <f t="shared" si="1"/>
        <v>0</v>
      </c>
      <c r="H18" s="243"/>
      <c r="I18" s="241">
        <f t="shared" si="3"/>
        <v>0</v>
      </c>
      <c r="J18" s="254"/>
      <c r="K18" s="255">
        <v>0</v>
      </c>
      <c r="P18" s="220">
        <f t="shared" si="4"/>
        <v>0</v>
      </c>
    </row>
    <row r="19" spans="1:11" ht="27" customHeight="1">
      <c r="A19" s="240" t="s">
        <v>50</v>
      </c>
      <c r="B19" s="241"/>
      <c r="C19" s="241"/>
      <c r="D19" s="241"/>
      <c r="E19" s="241">
        <v>0</v>
      </c>
      <c r="F19" s="242"/>
      <c r="G19" s="241"/>
      <c r="H19" s="243"/>
      <c r="I19" s="241"/>
      <c r="J19" s="254"/>
      <c r="K19" s="255"/>
    </row>
    <row r="20" spans="1:16" ht="27" customHeight="1">
      <c r="A20" s="244" t="s">
        <v>51</v>
      </c>
      <c r="B20" s="241">
        <v>1810</v>
      </c>
      <c r="C20" s="241">
        <v>1350</v>
      </c>
      <c r="D20" s="241">
        <v>1610</v>
      </c>
      <c r="E20" s="241">
        <v>1288</v>
      </c>
      <c r="F20" s="242">
        <f>ROUND((E20/D20)*100,1)</f>
        <v>80</v>
      </c>
      <c r="G20" s="241">
        <f>E20-D20</f>
        <v>-322</v>
      </c>
      <c r="H20" s="243">
        <f>(E20/B20-1)*100</f>
        <v>-28.839779005524857</v>
      </c>
      <c r="I20" s="241">
        <f>E20-B20</f>
        <v>-522</v>
      </c>
      <c r="J20" s="254"/>
      <c r="K20" s="255">
        <v>269</v>
      </c>
      <c r="N20" s="220">
        <v>465</v>
      </c>
      <c r="P20" s="220">
        <f>N20-O20</f>
        <v>465</v>
      </c>
    </row>
    <row r="21" spans="1:16" ht="27" customHeight="1">
      <c r="A21" s="240" t="s">
        <v>52</v>
      </c>
      <c r="B21" s="241">
        <v>9428</v>
      </c>
      <c r="C21" s="241">
        <v>12770</v>
      </c>
      <c r="D21" s="241">
        <v>18465</v>
      </c>
      <c r="E21" s="241">
        <v>10644</v>
      </c>
      <c r="F21" s="242">
        <f>ROUND((E21/D21)*100,1)</f>
        <v>57.6</v>
      </c>
      <c r="G21" s="241">
        <f>E21-D21</f>
        <v>-7821</v>
      </c>
      <c r="H21" s="243">
        <f>(E21/B21-1)*100</f>
        <v>12.897751378871437</v>
      </c>
      <c r="I21" s="241">
        <f>E21-B21</f>
        <v>1216</v>
      </c>
      <c r="J21" s="254"/>
      <c r="K21" s="255">
        <v>20019</v>
      </c>
      <c r="N21" s="220">
        <v>6867</v>
      </c>
      <c r="O21" s="220">
        <v>300</v>
      </c>
      <c r="P21" s="220">
        <f>N21-O21</f>
        <v>6567</v>
      </c>
    </row>
    <row r="22" spans="1:16" ht="27" customHeight="1">
      <c r="A22" s="240" t="s">
        <v>53</v>
      </c>
      <c r="B22" s="241">
        <v>370</v>
      </c>
      <c r="C22" s="241">
        <v>410</v>
      </c>
      <c r="D22" s="241">
        <v>410</v>
      </c>
      <c r="E22" s="241">
        <v>208</v>
      </c>
      <c r="F22" s="242">
        <f>ROUND((E22/D22)*100,1)</f>
        <v>50.7</v>
      </c>
      <c r="G22" s="241">
        <f>E22-D22</f>
        <v>-202</v>
      </c>
      <c r="H22" s="243">
        <f>(E22/B22-1)*100</f>
        <v>-43.78378378378378</v>
      </c>
      <c r="I22" s="241">
        <f>E22-B22</f>
        <v>-162</v>
      </c>
      <c r="J22" s="254"/>
      <c r="K22" s="255">
        <v>114</v>
      </c>
      <c r="N22" s="220">
        <v>195</v>
      </c>
      <c r="P22" s="220">
        <f>N22-O22</f>
        <v>195</v>
      </c>
    </row>
    <row r="23" spans="1:11" ht="37.5" customHeight="1">
      <c r="A23" s="244" t="s">
        <v>54</v>
      </c>
      <c r="B23" s="241"/>
      <c r="C23" s="241">
        <v>2000</v>
      </c>
      <c r="D23" s="241">
        <v>2000</v>
      </c>
      <c r="E23" s="241">
        <v>1083</v>
      </c>
      <c r="F23" s="242"/>
      <c r="G23" s="241"/>
      <c r="H23" s="243"/>
      <c r="I23" s="241"/>
      <c r="J23" s="254"/>
      <c r="K23" s="255"/>
    </row>
    <row r="24" spans="1:16" ht="27" customHeight="1">
      <c r="A24" s="240" t="s">
        <v>55</v>
      </c>
      <c r="B24" s="241">
        <v>2031</v>
      </c>
      <c r="C24" s="241">
        <v>4000</v>
      </c>
      <c r="D24" s="241">
        <v>4000</v>
      </c>
      <c r="E24" s="241">
        <v>3201</v>
      </c>
      <c r="F24" s="242">
        <f>ROUND((E24/D24)*100,1)</f>
        <v>80</v>
      </c>
      <c r="G24" s="241">
        <f>E24-D24</f>
        <v>-799</v>
      </c>
      <c r="H24" s="243">
        <f>(E24/B24-1)*100</f>
        <v>57.607090103397354</v>
      </c>
      <c r="I24" s="241">
        <f>E24-B24</f>
        <v>1170</v>
      </c>
      <c r="J24" s="254"/>
      <c r="K24" s="255">
        <v>996</v>
      </c>
      <c r="N24" s="220">
        <v>1276</v>
      </c>
      <c r="P24" s="220">
        <f>N24-O24</f>
        <v>1276</v>
      </c>
    </row>
    <row r="25" spans="1:11" ht="27" customHeight="1">
      <c r="A25" s="240" t="s">
        <v>56</v>
      </c>
      <c r="B25" s="241"/>
      <c r="C25" s="241"/>
      <c r="D25" s="241"/>
      <c r="E25" s="241">
        <v>150</v>
      </c>
      <c r="F25" s="242"/>
      <c r="G25" s="241">
        <f>E25-D25</f>
        <v>150</v>
      </c>
      <c r="H25" s="243"/>
      <c r="I25" s="241">
        <f>E25-B25</f>
        <v>150</v>
      </c>
      <c r="J25" s="254"/>
      <c r="K25" s="251"/>
    </row>
    <row r="26" spans="1:12" ht="27" customHeight="1">
      <c r="A26" s="245" t="s">
        <v>30</v>
      </c>
      <c r="B26" s="246">
        <f>SUM(B5:B25)</f>
        <v>230365</v>
      </c>
      <c r="C26" s="246">
        <f>SUM(C5:C25)</f>
        <v>195100</v>
      </c>
      <c r="D26" s="246">
        <f>SUM(D5:D25)</f>
        <v>249900</v>
      </c>
      <c r="E26" s="246">
        <f>SUM(E5:E25)</f>
        <v>219939</v>
      </c>
      <c r="F26" s="242">
        <f>ROUND((E26/D26)*100,1)</f>
        <v>88</v>
      </c>
      <c r="G26" s="241">
        <f>E26-D26</f>
        <v>-29961</v>
      </c>
      <c r="H26" s="243">
        <f>(E26/B26-1)*100</f>
        <v>-4.525861133418707</v>
      </c>
      <c r="I26" s="241">
        <f>E26-B26</f>
        <v>-10426</v>
      </c>
      <c r="J26" s="254"/>
      <c r="K26" s="251">
        <f>SUM(K5:K25)</f>
        <v>192000</v>
      </c>
      <c r="L26" s="220">
        <f>SUM(L5:L25)</f>
        <v>19300</v>
      </c>
    </row>
    <row r="27" spans="1:11" ht="38.25" customHeight="1">
      <c r="A27" s="247"/>
      <c r="B27" s="247"/>
      <c r="C27" s="247"/>
      <c r="D27" s="248"/>
      <c r="E27" s="248"/>
      <c r="F27" s="247"/>
      <c r="G27" s="247"/>
      <c r="H27" s="247"/>
      <c r="I27" s="247"/>
      <c r="J27" s="247"/>
      <c r="K27" s="251"/>
    </row>
    <row r="87" ht="14.25">
      <c r="B87" s="258"/>
    </row>
  </sheetData>
  <sheetProtection/>
  <mergeCells count="9">
    <mergeCell ref="A1:J1"/>
    <mergeCell ref="F3:G3"/>
    <mergeCell ref="H3:I3"/>
    <mergeCell ref="A3:A4"/>
    <mergeCell ref="B3:B4"/>
    <mergeCell ref="C3:C4"/>
    <mergeCell ref="D3:D4"/>
    <mergeCell ref="E3:E4"/>
    <mergeCell ref="J3:J4"/>
  </mergeCells>
  <printOptions horizontalCentered="1"/>
  <pageMargins left="0.5902777777777778" right="0.5902777777777778" top="1.1416666666666666" bottom="0.6298611111111111" header="0.2791666666666667" footer="0.35"/>
  <pageSetup firstPageNumber="22" useFirstPageNumber="1" fitToHeight="1" fitToWidth="1" horizontalDpi="600" verticalDpi="600" orientation="portrait" paperSize="9" scale="93"/>
</worksheet>
</file>

<file path=xl/worksheets/sheet5.xml><?xml version="1.0" encoding="utf-8"?>
<worksheet xmlns="http://schemas.openxmlformats.org/spreadsheetml/2006/main" xmlns:r="http://schemas.openxmlformats.org/officeDocument/2006/relationships">
  <sheetPr>
    <tabColor rgb="FF00B0F0"/>
  </sheetPr>
  <dimension ref="A1:R25"/>
  <sheetViews>
    <sheetView showZeros="0" zoomScale="160" zoomScaleNormal="160" zoomScaleSheetLayoutView="100" workbookViewId="0" topLeftCell="A1">
      <selection activeCell="N22" sqref="N22"/>
    </sheetView>
  </sheetViews>
  <sheetFormatPr defaultColWidth="8.625" defaultRowHeight="24.75" customHeight="1"/>
  <cols>
    <col min="1" max="1" width="24.625" style="207" customWidth="1"/>
    <col min="2" max="2" width="6.125" style="207" customWidth="1"/>
    <col min="3" max="3" width="6.875" style="207" hidden="1" customWidth="1"/>
    <col min="4" max="4" width="6.75390625" style="207" customWidth="1"/>
    <col min="5" max="5" width="5.50390625" style="207" hidden="1" customWidth="1"/>
    <col min="6" max="6" width="7.25390625" style="207" customWidth="1"/>
    <col min="7" max="7" width="8.625" style="207" customWidth="1"/>
    <col min="8" max="8" width="33.00390625" style="208" customWidth="1"/>
    <col min="9" max="9" width="7.25390625" style="208" customWidth="1"/>
    <col min="10" max="10" width="7.875" style="208" hidden="1" customWidth="1"/>
    <col min="11" max="11" width="6.625" style="208" customWidth="1"/>
    <col min="12" max="12" width="6.375" style="208" hidden="1" customWidth="1"/>
    <col min="13" max="13" width="6.375" style="208" customWidth="1"/>
    <col min="14" max="14" width="26.00390625" style="208" customWidth="1"/>
    <col min="15" max="15" width="3.75390625" style="207" hidden="1" customWidth="1"/>
    <col min="16" max="17" width="9.00390625" style="207" hidden="1" customWidth="1"/>
    <col min="18" max="18" width="13.375" style="207" hidden="1" customWidth="1"/>
    <col min="19" max="19" width="9.00390625" style="207" hidden="1" customWidth="1"/>
    <col min="20" max="36" width="9.00390625" style="207" customWidth="1"/>
    <col min="37" max="16384" width="8.625" style="207" customWidth="1"/>
  </cols>
  <sheetData>
    <row r="1" spans="1:14" ht="30.75" customHeight="1">
      <c r="A1" s="209" t="s">
        <v>75</v>
      </c>
      <c r="B1" s="209"/>
      <c r="C1" s="209"/>
      <c r="D1" s="209"/>
      <c r="E1" s="209"/>
      <c r="F1" s="209"/>
      <c r="G1" s="209"/>
      <c r="H1" s="209"/>
      <c r="I1" s="209"/>
      <c r="J1" s="209"/>
      <c r="K1" s="209"/>
      <c r="L1" s="209"/>
      <c r="M1" s="209"/>
      <c r="N1" s="209"/>
    </row>
    <row r="2" spans="1:14" ht="15.75" customHeight="1">
      <c r="A2" s="210" t="s">
        <v>76</v>
      </c>
      <c r="B2" s="63"/>
      <c r="C2" s="63"/>
      <c r="D2" s="63"/>
      <c r="E2" s="63"/>
      <c r="F2" s="63"/>
      <c r="G2" s="63"/>
      <c r="H2" s="211" t="s">
        <v>2</v>
      </c>
      <c r="I2" s="211"/>
      <c r="J2" s="211"/>
      <c r="K2" s="211"/>
      <c r="L2" s="211"/>
      <c r="M2" s="211"/>
      <c r="N2" s="211"/>
    </row>
    <row r="3" spans="1:14" ht="19.5" customHeight="1">
      <c r="A3" s="212" t="s">
        <v>77</v>
      </c>
      <c r="B3" s="212"/>
      <c r="C3" s="212"/>
      <c r="D3" s="212"/>
      <c r="E3" s="212"/>
      <c r="F3" s="212"/>
      <c r="G3" s="212"/>
      <c r="H3" s="212" t="s">
        <v>78</v>
      </c>
      <c r="I3" s="212"/>
      <c r="J3" s="212"/>
      <c r="K3" s="212"/>
      <c r="L3" s="212"/>
      <c r="M3" s="212"/>
      <c r="N3" s="212"/>
    </row>
    <row r="4" spans="1:14" s="63" customFormat="1" ht="30" customHeight="1">
      <c r="A4" s="212" t="s">
        <v>79</v>
      </c>
      <c r="B4" s="212" t="s">
        <v>80</v>
      </c>
      <c r="C4" s="212" t="s">
        <v>81</v>
      </c>
      <c r="D4" s="212" t="s">
        <v>82</v>
      </c>
      <c r="E4" s="212" t="s">
        <v>83</v>
      </c>
      <c r="F4" s="212" t="s">
        <v>84</v>
      </c>
      <c r="G4" s="212" t="s">
        <v>85</v>
      </c>
      <c r="H4" s="212" t="s">
        <v>79</v>
      </c>
      <c r="I4" s="212" t="s">
        <v>86</v>
      </c>
      <c r="J4" s="212" t="s">
        <v>87</v>
      </c>
      <c r="K4" s="212" t="s">
        <v>82</v>
      </c>
      <c r="L4" s="212" t="s">
        <v>88</v>
      </c>
      <c r="M4" s="212" t="s">
        <v>84</v>
      </c>
      <c r="N4" s="212" t="s">
        <v>85</v>
      </c>
    </row>
    <row r="5" spans="1:18" s="63" customFormat="1" ht="27" customHeight="1">
      <c r="A5" s="213" t="s">
        <v>89</v>
      </c>
      <c r="B5" s="214">
        <v>3000</v>
      </c>
      <c r="C5" s="214"/>
      <c r="D5" s="214">
        <v>3000</v>
      </c>
      <c r="E5" s="214"/>
      <c r="F5" s="214">
        <v>2338</v>
      </c>
      <c r="G5" s="212"/>
      <c r="H5" s="77" t="s">
        <v>90</v>
      </c>
      <c r="I5" s="217">
        <v>3000</v>
      </c>
      <c r="J5" s="217"/>
      <c r="K5" s="217">
        <v>3000</v>
      </c>
      <c r="L5" s="217"/>
      <c r="M5" s="217">
        <v>2338</v>
      </c>
      <c r="N5" s="77" t="s">
        <v>91</v>
      </c>
      <c r="O5" s="63" t="s">
        <v>92</v>
      </c>
      <c r="R5" s="218" t="s">
        <v>93</v>
      </c>
    </row>
    <row r="6" spans="1:14" s="63" customFormat="1" ht="21.75" customHeight="1">
      <c r="A6" s="213" t="s">
        <v>94</v>
      </c>
      <c r="B6" s="214">
        <f>SUM(B7:B17)</f>
        <v>19500</v>
      </c>
      <c r="C6" s="214">
        <f>SUM(C7:C17)</f>
        <v>0</v>
      </c>
      <c r="D6" s="214">
        <f>SUM(D7:D17)</f>
        <v>29500</v>
      </c>
      <c r="E6" s="214">
        <f>SUM(E7:E17)</f>
        <v>0</v>
      </c>
      <c r="F6" s="214">
        <f>SUM(F7:F17)</f>
        <v>29104</v>
      </c>
      <c r="G6" s="212"/>
      <c r="H6" s="77" t="s">
        <v>95</v>
      </c>
      <c r="I6" s="217">
        <f>SUM(I7,I17,I18)</f>
        <v>19500</v>
      </c>
      <c r="J6" s="217">
        <f>SUM(J7,J17,J18)</f>
        <v>0</v>
      </c>
      <c r="K6" s="217">
        <f>SUM(K7,K17,K18)</f>
        <v>29525</v>
      </c>
      <c r="L6" s="217">
        <f>SUM(L7,L17,L18)</f>
        <v>0</v>
      </c>
      <c r="M6" s="217">
        <f>SUM(M7,M17,M18)</f>
        <v>28438</v>
      </c>
      <c r="N6" s="77" t="s">
        <v>96</v>
      </c>
    </row>
    <row r="7" spans="1:18" s="63" customFormat="1" ht="21.75" customHeight="1">
      <c r="A7" s="213" t="s">
        <v>97</v>
      </c>
      <c r="B7" s="214">
        <v>19000</v>
      </c>
      <c r="C7" s="214"/>
      <c r="D7" s="214">
        <v>29000</v>
      </c>
      <c r="E7" s="214"/>
      <c r="F7" s="214">
        <v>28709</v>
      </c>
      <c r="G7" s="212"/>
      <c r="H7" s="77" t="s">
        <v>98</v>
      </c>
      <c r="I7" s="217">
        <f>SUM(I8:I16)</f>
        <v>9460</v>
      </c>
      <c r="J7" s="217">
        <f>SUM(J8:J16)</f>
        <v>0</v>
      </c>
      <c r="K7" s="217">
        <f>SUM(K8:K16)</f>
        <v>37565</v>
      </c>
      <c r="L7" s="217">
        <f>SUM(L8:L16)</f>
        <v>0</v>
      </c>
      <c r="M7" s="217">
        <f>SUM(M8:M16)</f>
        <v>27438</v>
      </c>
      <c r="N7" s="77"/>
      <c r="R7" s="219" t="s">
        <v>99</v>
      </c>
    </row>
    <row r="8" spans="1:14" s="63" customFormat="1" ht="21.75" customHeight="1">
      <c r="A8" s="213" t="s">
        <v>100</v>
      </c>
      <c r="B8" s="214"/>
      <c r="C8" s="214"/>
      <c r="D8" s="214"/>
      <c r="E8" s="214"/>
      <c r="F8" s="214"/>
      <c r="G8" s="212"/>
      <c r="H8" s="77" t="s">
        <v>101</v>
      </c>
      <c r="I8" s="217">
        <v>2337</v>
      </c>
      <c r="J8" s="217"/>
      <c r="K8" s="217">
        <v>30442</v>
      </c>
      <c r="L8" s="217"/>
      <c r="M8" s="217">
        <v>20315</v>
      </c>
      <c r="N8" s="77"/>
    </row>
    <row r="9" spans="1:14" s="63" customFormat="1" ht="21.75" customHeight="1">
      <c r="A9" s="213" t="s">
        <v>102</v>
      </c>
      <c r="B9" s="214">
        <v>500</v>
      </c>
      <c r="C9" s="214"/>
      <c r="D9" s="214">
        <v>500</v>
      </c>
      <c r="E9" s="214"/>
      <c r="F9" s="214">
        <v>349</v>
      </c>
      <c r="G9" s="215"/>
      <c r="H9" s="77" t="s">
        <v>103</v>
      </c>
      <c r="I9" s="217">
        <v>3000</v>
      </c>
      <c r="J9" s="217"/>
      <c r="K9" s="217">
        <v>3000</v>
      </c>
      <c r="L9" s="217"/>
      <c r="M9" s="217">
        <v>3000</v>
      </c>
      <c r="N9" s="77"/>
    </row>
    <row r="10" spans="1:14" s="63" customFormat="1" ht="21.75" customHeight="1">
      <c r="A10" s="213" t="s">
        <v>104</v>
      </c>
      <c r="B10" s="214"/>
      <c r="C10" s="214"/>
      <c r="D10" s="214"/>
      <c r="E10" s="214"/>
      <c r="F10" s="214"/>
      <c r="G10" s="215"/>
      <c r="H10" s="77" t="s">
        <v>105</v>
      </c>
      <c r="I10" s="217">
        <v>443</v>
      </c>
      <c r="J10" s="217"/>
      <c r="K10" s="217">
        <v>443</v>
      </c>
      <c r="L10" s="217"/>
      <c r="M10" s="217">
        <v>443</v>
      </c>
      <c r="N10" s="77"/>
    </row>
    <row r="11" spans="1:14" s="63" customFormat="1" ht="21.75" customHeight="1">
      <c r="A11" s="213" t="s">
        <v>106</v>
      </c>
      <c r="B11" s="214"/>
      <c r="C11" s="214"/>
      <c r="D11" s="214"/>
      <c r="E11" s="214"/>
      <c r="F11" s="214"/>
      <c r="G11" s="215"/>
      <c r="H11" s="77" t="s">
        <v>107</v>
      </c>
      <c r="I11" s="217">
        <v>600</v>
      </c>
      <c r="J11" s="217"/>
      <c r="K11" s="217">
        <v>600</v>
      </c>
      <c r="L11" s="217"/>
      <c r="M11" s="217">
        <v>600</v>
      </c>
      <c r="N11" s="77"/>
    </row>
    <row r="12" spans="1:14" s="63" customFormat="1" ht="21.75" customHeight="1">
      <c r="A12" s="213" t="s">
        <v>108</v>
      </c>
      <c r="B12" s="214"/>
      <c r="C12" s="214"/>
      <c r="D12" s="214"/>
      <c r="E12" s="214"/>
      <c r="F12" s="214"/>
      <c r="G12" s="215"/>
      <c r="H12" s="77" t="s">
        <v>109</v>
      </c>
      <c r="I12" s="217">
        <v>400</v>
      </c>
      <c r="J12" s="217"/>
      <c r="K12" s="217">
        <v>400</v>
      </c>
      <c r="L12" s="217"/>
      <c r="M12" s="217">
        <v>400</v>
      </c>
      <c r="N12" s="77"/>
    </row>
    <row r="13" spans="1:14" s="63" customFormat="1" ht="21.75" customHeight="1">
      <c r="A13" s="213" t="s">
        <v>110</v>
      </c>
      <c r="B13" s="214"/>
      <c r="C13" s="214"/>
      <c r="D13" s="214"/>
      <c r="E13" s="214"/>
      <c r="F13" s="214"/>
      <c r="G13" s="215"/>
      <c r="H13" s="77" t="s">
        <v>111</v>
      </c>
      <c r="I13" s="217">
        <v>1500</v>
      </c>
      <c r="J13" s="217"/>
      <c r="K13" s="217">
        <v>1500</v>
      </c>
      <c r="L13" s="217"/>
      <c r="M13" s="217">
        <v>1500</v>
      </c>
      <c r="N13" s="77"/>
    </row>
    <row r="14" spans="1:14" s="63" customFormat="1" ht="21.75" customHeight="1">
      <c r="A14" s="213" t="s">
        <v>112</v>
      </c>
      <c r="B14" s="214"/>
      <c r="C14" s="214"/>
      <c r="D14" s="214"/>
      <c r="E14" s="214"/>
      <c r="F14" s="214"/>
      <c r="G14" s="215"/>
      <c r="H14" s="77" t="s">
        <v>113</v>
      </c>
      <c r="I14" s="217">
        <v>180</v>
      </c>
      <c r="J14" s="217"/>
      <c r="K14" s="217">
        <v>180</v>
      </c>
      <c r="L14" s="217"/>
      <c r="M14" s="217">
        <v>180</v>
      </c>
      <c r="N14" s="77"/>
    </row>
    <row r="15" spans="1:14" s="63" customFormat="1" ht="21.75" customHeight="1">
      <c r="A15" s="213" t="s">
        <v>114</v>
      </c>
      <c r="B15" s="214"/>
      <c r="C15" s="214"/>
      <c r="D15" s="214"/>
      <c r="E15" s="214"/>
      <c r="F15" s="214">
        <v>46</v>
      </c>
      <c r="G15" s="215"/>
      <c r="H15" s="77" t="s">
        <v>115</v>
      </c>
      <c r="I15" s="217">
        <v>500</v>
      </c>
      <c r="J15" s="217"/>
      <c r="K15" s="217">
        <v>500</v>
      </c>
      <c r="L15" s="217"/>
      <c r="M15" s="217">
        <v>500</v>
      </c>
      <c r="N15" s="77"/>
    </row>
    <row r="16" spans="1:14" s="63" customFormat="1" ht="21.75" customHeight="1">
      <c r="A16" s="213"/>
      <c r="B16" s="214"/>
      <c r="C16" s="214"/>
      <c r="D16" s="214"/>
      <c r="E16" s="214"/>
      <c r="F16" s="214"/>
      <c r="G16" s="215"/>
      <c r="H16" s="77" t="s">
        <v>116</v>
      </c>
      <c r="I16" s="217">
        <v>500</v>
      </c>
      <c r="J16" s="217"/>
      <c r="K16" s="217">
        <v>500</v>
      </c>
      <c r="L16" s="217"/>
      <c r="M16" s="217">
        <v>500</v>
      </c>
      <c r="N16" s="77"/>
    </row>
    <row r="17" spans="1:14" s="63" customFormat="1" ht="21.75" customHeight="1">
      <c r="A17" s="213"/>
      <c r="B17" s="214"/>
      <c r="C17" s="214"/>
      <c r="D17" s="214"/>
      <c r="E17" s="214"/>
      <c r="F17" s="214"/>
      <c r="G17" s="215"/>
      <c r="H17" s="213" t="s">
        <v>117</v>
      </c>
      <c r="I17" s="217">
        <v>1000</v>
      </c>
      <c r="J17" s="217"/>
      <c r="K17" s="217">
        <v>1000</v>
      </c>
      <c r="L17" s="217"/>
      <c r="M17" s="217">
        <v>1000</v>
      </c>
      <c r="N17" s="77"/>
    </row>
    <row r="18" spans="1:14" s="63" customFormat="1" ht="21.75" customHeight="1">
      <c r="A18" s="215"/>
      <c r="B18" s="214"/>
      <c r="C18" s="214"/>
      <c r="D18" s="214"/>
      <c r="E18" s="214"/>
      <c r="F18" s="214"/>
      <c r="G18" s="215"/>
      <c r="H18" s="77" t="s">
        <v>118</v>
      </c>
      <c r="I18" s="217">
        <v>9040</v>
      </c>
      <c r="J18" s="217"/>
      <c r="K18" s="217">
        <v>-9040</v>
      </c>
      <c r="L18" s="217"/>
      <c r="M18" s="217"/>
      <c r="N18" s="77"/>
    </row>
    <row r="19" spans="1:14" s="63" customFormat="1" ht="21.75" customHeight="1">
      <c r="A19" s="215" t="s">
        <v>119</v>
      </c>
      <c r="B19" s="214">
        <f>B5+B6</f>
        <v>22500</v>
      </c>
      <c r="C19" s="214">
        <f>C5+C6</f>
        <v>0</v>
      </c>
      <c r="D19" s="214">
        <f>D5+D6</f>
        <v>32500</v>
      </c>
      <c r="E19" s="214">
        <f>E5+E6</f>
        <v>0</v>
      </c>
      <c r="F19" s="214">
        <f>F5+F6</f>
        <v>31442</v>
      </c>
      <c r="G19" s="214"/>
      <c r="H19" s="215" t="s">
        <v>120</v>
      </c>
      <c r="I19" s="217">
        <f>I5+I6</f>
        <v>22500</v>
      </c>
      <c r="J19" s="217">
        <f>J5+J6</f>
        <v>0</v>
      </c>
      <c r="K19" s="217">
        <f>K5+K6</f>
        <v>32525</v>
      </c>
      <c r="L19" s="217">
        <f>L5+L6</f>
        <v>0</v>
      </c>
      <c r="M19" s="217">
        <f>M5+M6</f>
        <v>30776</v>
      </c>
      <c r="N19" s="212"/>
    </row>
    <row r="20" spans="1:14" s="63" customFormat="1" ht="21.75" customHeight="1">
      <c r="A20" s="216" t="s">
        <v>121</v>
      </c>
      <c r="B20" s="214"/>
      <c r="C20" s="214"/>
      <c r="D20" s="214">
        <v>22500</v>
      </c>
      <c r="E20" s="214"/>
      <c r="F20" s="214">
        <v>22500</v>
      </c>
      <c r="G20" s="214"/>
      <c r="H20" s="216" t="s">
        <v>122</v>
      </c>
      <c r="I20" s="217"/>
      <c r="J20" s="217"/>
      <c r="K20" s="217">
        <v>22500</v>
      </c>
      <c r="L20" s="217"/>
      <c r="M20" s="217">
        <v>22500</v>
      </c>
      <c r="N20" s="212"/>
    </row>
    <row r="21" spans="1:14" s="63" customFormat="1" ht="21.75" customHeight="1">
      <c r="A21" s="216"/>
      <c r="B21" s="214"/>
      <c r="C21" s="214"/>
      <c r="D21" s="214"/>
      <c r="E21" s="214"/>
      <c r="F21" s="214"/>
      <c r="G21" s="214"/>
      <c r="H21" s="216" t="s">
        <v>123</v>
      </c>
      <c r="I21" s="217"/>
      <c r="J21" s="217"/>
      <c r="K21" s="217"/>
      <c r="L21" s="217"/>
      <c r="M21" s="217">
        <v>375</v>
      </c>
      <c r="N21" s="212"/>
    </row>
    <row r="22" spans="1:14" s="63" customFormat="1" ht="21.75" customHeight="1">
      <c r="A22" s="77" t="s">
        <v>124</v>
      </c>
      <c r="B22" s="214"/>
      <c r="C22" s="214"/>
      <c r="D22" s="214">
        <v>25</v>
      </c>
      <c r="E22" s="214"/>
      <c r="F22" s="214">
        <v>25</v>
      </c>
      <c r="G22" s="215"/>
      <c r="H22" s="77" t="s">
        <v>125</v>
      </c>
      <c r="I22" s="215"/>
      <c r="J22" s="215"/>
      <c r="K22" s="217"/>
      <c r="L22" s="214"/>
      <c r="M22" s="217">
        <v>316</v>
      </c>
      <c r="N22" s="215"/>
    </row>
    <row r="23" spans="1:14" s="63" customFormat="1" ht="21.75" customHeight="1">
      <c r="A23" s="212" t="s">
        <v>126</v>
      </c>
      <c r="B23" s="214">
        <f>B19+B22</f>
        <v>22500</v>
      </c>
      <c r="C23" s="214">
        <f>C19+C22</f>
        <v>0</v>
      </c>
      <c r="D23" s="214">
        <f>D19+D22+D20</f>
        <v>55025</v>
      </c>
      <c r="E23" s="214">
        <f>E19+E22+E20</f>
        <v>0</v>
      </c>
      <c r="F23" s="214">
        <f>F19+F22+F20</f>
        <v>53967</v>
      </c>
      <c r="G23" s="214">
        <f>G19+G22</f>
        <v>0</v>
      </c>
      <c r="H23" s="212" t="s">
        <v>127</v>
      </c>
      <c r="I23" s="217">
        <f>I19+I22+I20</f>
        <v>22500</v>
      </c>
      <c r="J23" s="217">
        <f>J19+J22+J20</f>
        <v>0</v>
      </c>
      <c r="K23" s="217">
        <f>K19+K22+K20</f>
        <v>55025</v>
      </c>
      <c r="L23" s="217">
        <f>L19+L22+L20</f>
        <v>0</v>
      </c>
      <c r="M23" s="217">
        <f>M19+M22+M20+M21</f>
        <v>53967</v>
      </c>
      <c r="N23" s="212"/>
    </row>
    <row r="24" ht="24.75" customHeight="1" hidden="1">
      <c r="F24" s="207">
        <v>53276</v>
      </c>
    </row>
    <row r="25" ht="24.75" customHeight="1" hidden="1">
      <c r="F25" s="207">
        <f>F24-F23</f>
        <v>-691</v>
      </c>
    </row>
  </sheetData>
  <sheetProtection/>
  <mergeCells count="4">
    <mergeCell ref="A1:N1"/>
    <mergeCell ref="H2:N2"/>
    <mergeCell ref="A3:G3"/>
    <mergeCell ref="H3:N3"/>
  </mergeCells>
  <printOptions horizontalCentered="1"/>
  <pageMargins left="0.38958333333333334" right="0.38958333333333334" top="0.9444444444444444" bottom="0.6298611111111111" header="0.2791666666666667" footer="0.35"/>
  <pageSetup firstPageNumber="22" useFirstPageNumber="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tabColor rgb="FF00B050"/>
    <pageSetUpPr fitToPage="1"/>
  </sheetPr>
  <dimension ref="A1:L18"/>
  <sheetViews>
    <sheetView showZeros="0" view="pageBreakPreview" zoomScaleSheetLayoutView="100" workbookViewId="0" topLeftCell="A1">
      <selection activeCell="K6" sqref="K6"/>
    </sheetView>
  </sheetViews>
  <sheetFormatPr defaultColWidth="9.00390625" defaultRowHeight="14.25"/>
  <cols>
    <col min="1" max="1" width="20.25390625" style="0" customWidth="1"/>
    <col min="6" max="6" width="21.50390625" style="0" customWidth="1"/>
  </cols>
  <sheetData>
    <row r="1" spans="1:10" ht="28.5">
      <c r="A1" s="50" t="s">
        <v>128</v>
      </c>
      <c r="B1" s="50"/>
      <c r="C1" s="50"/>
      <c r="D1" s="50"/>
      <c r="E1" s="50"/>
      <c r="F1" s="50"/>
      <c r="G1" s="50"/>
      <c r="H1" s="50"/>
      <c r="I1" s="50"/>
      <c r="J1" s="50"/>
    </row>
    <row r="2" spans="1:10" ht="14.25">
      <c r="A2" s="206" t="s">
        <v>129</v>
      </c>
      <c r="B2" s="52"/>
      <c r="C2" s="52"/>
      <c r="D2" s="52"/>
      <c r="E2" s="52"/>
      <c r="F2" s="52"/>
      <c r="G2" s="52"/>
      <c r="H2" s="52"/>
      <c r="I2" s="59" t="s">
        <v>2</v>
      </c>
      <c r="J2" s="59"/>
    </row>
    <row r="3" spans="1:10" ht="63.75" customHeight="1">
      <c r="A3" s="53" t="s">
        <v>77</v>
      </c>
      <c r="B3" s="53"/>
      <c r="C3" s="53"/>
      <c r="D3" s="53"/>
      <c r="E3" s="53"/>
      <c r="F3" s="53" t="s">
        <v>130</v>
      </c>
      <c r="G3" s="53"/>
      <c r="H3" s="53"/>
      <c r="I3" s="53"/>
      <c r="J3" s="53"/>
    </row>
    <row r="4" spans="1:10" ht="51" customHeight="1">
      <c r="A4" s="53" t="s">
        <v>79</v>
      </c>
      <c r="B4" s="53" t="s">
        <v>131</v>
      </c>
      <c r="C4" s="53" t="s">
        <v>132</v>
      </c>
      <c r="D4" s="53" t="s">
        <v>84</v>
      </c>
      <c r="E4" s="53" t="s">
        <v>85</v>
      </c>
      <c r="F4" s="53" t="s">
        <v>79</v>
      </c>
      <c r="G4" s="53" t="s">
        <v>131</v>
      </c>
      <c r="H4" s="53" t="s">
        <v>132</v>
      </c>
      <c r="I4" s="53" t="s">
        <v>84</v>
      </c>
      <c r="J4" s="53" t="s">
        <v>85</v>
      </c>
    </row>
    <row r="5" spans="1:10" ht="51" customHeight="1">
      <c r="A5" s="53" t="s">
        <v>133</v>
      </c>
      <c r="B5" s="54">
        <f>B6</f>
        <v>130</v>
      </c>
      <c r="C5" s="54">
        <f>C6</f>
        <v>0</v>
      </c>
      <c r="D5" s="54">
        <v>88</v>
      </c>
      <c r="E5" s="55"/>
      <c r="F5" s="53" t="s">
        <v>134</v>
      </c>
      <c r="G5" s="54">
        <f>G6</f>
        <v>130</v>
      </c>
      <c r="H5" s="54">
        <f>H6</f>
        <v>0</v>
      </c>
      <c r="I5" s="54">
        <v>88</v>
      </c>
      <c r="J5" s="55"/>
    </row>
    <row r="6" spans="1:10" ht="51" customHeight="1">
      <c r="A6" s="56" t="s">
        <v>135</v>
      </c>
      <c r="B6" s="57">
        <v>130</v>
      </c>
      <c r="C6" s="57"/>
      <c r="D6" s="57">
        <v>88</v>
      </c>
      <c r="E6" s="58"/>
      <c r="F6" s="56" t="s">
        <v>136</v>
      </c>
      <c r="G6" s="54">
        <v>130</v>
      </c>
      <c r="H6" s="54"/>
      <c r="I6" s="54">
        <v>88</v>
      </c>
      <c r="J6" s="55"/>
    </row>
    <row r="8" ht="21.75" customHeight="1"/>
    <row r="9" ht="21.75" customHeight="1"/>
    <row r="10" ht="21.75" customHeight="1"/>
    <row r="11" ht="21.75" customHeight="1">
      <c r="L11" t="s">
        <v>137</v>
      </c>
    </row>
    <row r="12" ht="21.75" customHeight="1"/>
    <row r="13" ht="21.75" customHeight="1"/>
    <row r="14" ht="21.75" customHeight="1"/>
    <row r="15" ht="21.75" customHeight="1"/>
    <row r="16" ht="21.75" customHeight="1"/>
    <row r="17" ht="21.75" customHeight="1"/>
    <row r="18" ht="21.75" customHeight="1">
      <c r="G18" t="s">
        <v>138</v>
      </c>
    </row>
  </sheetData>
  <sheetProtection/>
  <mergeCells count="4">
    <mergeCell ref="A1:J1"/>
    <mergeCell ref="I2:J2"/>
    <mergeCell ref="A3:E3"/>
    <mergeCell ref="F3:J3"/>
  </mergeCells>
  <printOptions horizontalCentered="1"/>
  <pageMargins left="0.38958333333333334" right="0.38958333333333334" top="1.1416666666666666" bottom="0.6298611111111111" header="0.2791666666666667" footer="0.35"/>
  <pageSetup firstPageNumber="22" useFirstPageNumber="1"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rgb="FF00B050"/>
    <pageSetUpPr fitToPage="1"/>
  </sheetPr>
  <dimension ref="A1:IV9"/>
  <sheetViews>
    <sheetView showZeros="0" zoomScaleSheetLayoutView="100" workbookViewId="0" topLeftCell="A1">
      <selection activeCell="E35" sqref="E35"/>
    </sheetView>
  </sheetViews>
  <sheetFormatPr defaultColWidth="8.75390625" defaultRowHeight="30.75" customHeight="1"/>
  <cols>
    <col min="1" max="1" width="18.625" style="199" customWidth="1"/>
    <col min="2" max="2" width="12.375" style="199" customWidth="1"/>
    <col min="3" max="3" width="7.25390625" style="199" customWidth="1"/>
    <col min="4" max="4" width="9.625" style="199" customWidth="1"/>
    <col min="5" max="5" width="10.625" style="199" customWidth="1"/>
    <col min="6" max="6" width="19.125" style="199" customWidth="1"/>
    <col min="7" max="7" width="12.00390625" style="199" customWidth="1"/>
    <col min="8" max="8" width="7.75390625" style="199" customWidth="1"/>
    <col min="9" max="9" width="8.75390625" style="199" customWidth="1"/>
    <col min="10" max="10" width="12.625" style="199" customWidth="1"/>
    <col min="11" max="32" width="9.00390625" style="199" bestFit="1" customWidth="1"/>
    <col min="33" max="16384" width="8.75390625" style="199" customWidth="1"/>
  </cols>
  <sheetData>
    <row r="1" spans="1:256" s="186" customFormat="1" ht="51.75" customHeight="1">
      <c r="A1" s="29" t="s">
        <v>139</v>
      </c>
      <c r="B1" s="29"/>
      <c r="C1" s="29"/>
      <c r="D1" s="29"/>
      <c r="E1" s="29"/>
      <c r="F1" s="29"/>
      <c r="G1" s="29"/>
      <c r="H1" s="29"/>
      <c r="I1" s="29"/>
      <c r="J1" s="2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row>
    <row r="2" spans="1:256" s="186" customFormat="1" ht="21" customHeight="1">
      <c r="A2" s="200" t="s">
        <v>140</v>
      </c>
      <c r="B2" s="35"/>
      <c r="C2" s="35"/>
      <c r="D2" s="35"/>
      <c r="E2" s="35"/>
      <c r="F2" s="199"/>
      <c r="G2" s="199"/>
      <c r="H2" s="201"/>
      <c r="I2" s="203"/>
      <c r="J2" s="204" t="s">
        <v>2</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row>
    <row r="3" spans="1:256" s="186" customFormat="1" ht="25.5" customHeight="1">
      <c r="A3" s="36" t="s">
        <v>77</v>
      </c>
      <c r="B3" s="36"/>
      <c r="C3" s="36"/>
      <c r="D3" s="36"/>
      <c r="E3" s="36"/>
      <c r="F3" s="36" t="s">
        <v>78</v>
      </c>
      <c r="G3" s="36"/>
      <c r="H3" s="36"/>
      <c r="I3" s="36"/>
      <c r="J3" s="36"/>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row>
    <row r="4" spans="1:256" s="186" customFormat="1" ht="46.5" customHeight="1">
      <c r="A4" s="36" t="s">
        <v>79</v>
      </c>
      <c r="B4" s="36" t="s">
        <v>141</v>
      </c>
      <c r="C4" s="36" t="s">
        <v>142</v>
      </c>
      <c r="D4" s="36" t="s">
        <v>143</v>
      </c>
      <c r="E4" s="36" t="s">
        <v>144</v>
      </c>
      <c r="F4" s="36" t="s">
        <v>79</v>
      </c>
      <c r="G4" s="36" t="s">
        <v>141</v>
      </c>
      <c r="H4" s="36" t="s">
        <v>142</v>
      </c>
      <c r="I4" s="36" t="s">
        <v>145</v>
      </c>
      <c r="J4" s="36" t="s">
        <v>144</v>
      </c>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row>
    <row r="5" spans="1:256" s="186" customFormat="1" ht="57.75" customHeight="1">
      <c r="A5" s="37" t="s">
        <v>146</v>
      </c>
      <c r="B5" s="38">
        <f>'[2]表八'!B4</f>
        <v>19339.573</v>
      </c>
      <c r="C5" s="31"/>
      <c r="D5" s="38">
        <f>'[2]表八'!D4</f>
        <v>19485.74</v>
      </c>
      <c r="E5" s="24"/>
      <c r="F5" s="37" t="s">
        <v>147</v>
      </c>
      <c r="G5" s="38">
        <f>'[2]表八'!B11</f>
        <v>19260</v>
      </c>
      <c r="H5" s="31"/>
      <c r="I5" s="38">
        <f>'[2]表八'!D11</f>
        <v>22861.299999999996</v>
      </c>
      <c r="J5" s="36"/>
      <c r="K5" s="199"/>
      <c r="L5" s="199"/>
      <c r="M5" s="199" t="s">
        <v>148</v>
      </c>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row>
    <row r="6" spans="1:256" s="186" customFormat="1" ht="57.75" customHeight="1">
      <c r="A6" s="39" t="s">
        <v>149</v>
      </c>
      <c r="B6" s="38">
        <v>1274.18</v>
      </c>
      <c r="C6" s="31"/>
      <c r="D6" s="38">
        <v>1297.27</v>
      </c>
      <c r="E6" s="24"/>
      <c r="F6" s="39" t="s">
        <v>150</v>
      </c>
      <c r="G6" s="38">
        <v>1453</v>
      </c>
      <c r="H6" s="31"/>
      <c r="I6" s="205">
        <v>1632.13</v>
      </c>
      <c r="J6" s="36"/>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row>
    <row r="7" spans="1:256" s="186" customFormat="1" ht="57.75" customHeight="1">
      <c r="A7" s="39" t="s">
        <v>151</v>
      </c>
      <c r="B7" s="38">
        <v>9192.15</v>
      </c>
      <c r="C7" s="31"/>
      <c r="D7" s="40">
        <v>8602.51</v>
      </c>
      <c r="E7" s="42"/>
      <c r="F7" s="43" t="s">
        <v>152</v>
      </c>
      <c r="G7" s="40">
        <v>7029.58</v>
      </c>
      <c r="H7" s="202"/>
      <c r="I7" s="40">
        <v>6926.26</v>
      </c>
      <c r="J7" s="36"/>
      <c r="K7" s="199"/>
      <c r="L7" s="199"/>
      <c r="M7" s="199" t="s">
        <v>153</v>
      </c>
      <c r="N7" s="199" t="s">
        <v>154</v>
      </c>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row>
    <row r="8" spans="1:256" s="186" customFormat="1" ht="57.75" customHeight="1">
      <c r="A8" s="36" t="s">
        <v>119</v>
      </c>
      <c r="B8" s="38">
        <f aca="true" t="shared" si="0" ref="B8:G8">SUM(B5:B7)</f>
        <v>29805.903</v>
      </c>
      <c r="C8" s="38"/>
      <c r="D8" s="38">
        <f t="shared" si="0"/>
        <v>29385.520000000004</v>
      </c>
      <c r="E8" s="36"/>
      <c r="F8" s="36" t="s">
        <v>120</v>
      </c>
      <c r="G8" s="38">
        <f t="shared" si="0"/>
        <v>27742.58</v>
      </c>
      <c r="H8" s="38"/>
      <c r="I8" s="38">
        <f>SUM(I5:I7)</f>
        <v>31419.689999999995</v>
      </c>
      <c r="J8" s="36"/>
      <c r="K8" s="199"/>
      <c r="L8" s="199"/>
      <c r="M8" s="199" t="s">
        <v>155</v>
      </c>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row>
    <row r="9" spans="1:256" s="186" customFormat="1" ht="57.75" customHeight="1">
      <c r="A9" s="36" t="s">
        <v>124</v>
      </c>
      <c r="B9" s="38">
        <v>29766.253</v>
      </c>
      <c r="C9" s="38"/>
      <c r="D9" s="38"/>
      <c r="E9" s="36"/>
      <c r="F9" s="36" t="s">
        <v>125</v>
      </c>
      <c r="G9" s="31"/>
      <c r="H9" s="38"/>
      <c r="I9" s="38">
        <f>D8+D9-I8+B9</f>
        <v>27732.08300000001</v>
      </c>
      <c r="J9" s="36"/>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row>
  </sheetData>
  <sheetProtection/>
  <mergeCells count="3">
    <mergeCell ref="A1:J1"/>
    <mergeCell ref="A3:E3"/>
    <mergeCell ref="F3:J3"/>
  </mergeCells>
  <printOptions horizontalCentered="1"/>
  <pageMargins left="0.38958333333333334" right="0.38958333333333334" top="0.9444444444444444" bottom="0.6298611111111111" header="0.2791666666666667" footer="0.35"/>
  <pageSetup firstPageNumber="22" useFirstPageNumber="1"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rgb="FF00B050"/>
  </sheetPr>
  <dimension ref="A1:IV25"/>
  <sheetViews>
    <sheetView showZeros="0" zoomScale="175" zoomScaleNormal="175" zoomScaleSheetLayoutView="100" workbookViewId="0" topLeftCell="A4">
      <selection activeCell="E31" sqref="E31"/>
    </sheetView>
  </sheetViews>
  <sheetFormatPr defaultColWidth="9.00390625" defaultRowHeight="14.25"/>
  <cols>
    <col min="1" max="1" width="31.625" style="28" customWidth="1"/>
    <col min="2" max="2" width="12.125" style="28" customWidth="1"/>
    <col min="3" max="4" width="8.875" style="28" customWidth="1"/>
    <col min="5" max="5" width="56.125" style="4" customWidth="1"/>
    <col min="6" max="32" width="9.00390625" style="28" customWidth="1"/>
    <col min="33" max="224" width="8.75390625" style="28" customWidth="1"/>
    <col min="225" max="255" width="9.00390625" style="28" customWidth="1"/>
    <col min="256" max="256" width="9.00390625" style="186" customWidth="1"/>
  </cols>
  <sheetData>
    <row r="1" spans="1:256" s="28" customFormat="1" ht="30" customHeight="1">
      <c r="A1" s="29" t="s">
        <v>156</v>
      </c>
      <c r="B1" s="29"/>
      <c r="C1" s="29"/>
      <c r="D1" s="29"/>
      <c r="E1" s="5"/>
      <c r="IV1" s="186"/>
    </row>
    <row r="2" spans="1:256" s="28" customFormat="1" ht="30" customHeight="1">
      <c r="A2" s="30" t="s">
        <v>157</v>
      </c>
      <c r="B2" s="5"/>
      <c r="C2" s="5"/>
      <c r="D2" s="5"/>
      <c r="E2" s="23" t="s">
        <v>2</v>
      </c>
      <c r="IV2" s="186"/>
    </row>
    <row r="3" spans="1:256" s="28" customFormat="1" ht="29.25" customHeight="1">
      <c r="A3" s="10" t="s">
        <v>79</v>
      </c>
      <c r="B3" s="10" t="s">
        <v>141</v>
      </c>
      <c r="C3" s="10" t="s">
        <v>158</v>
      </c>
      <c r="D3" s="10" t="s">
        <v>159</v>
      </c>
      <c r="E3" s="24" t="s">
        <v>160</v>
      </c>
      <c r="IV3" s="186"/>
    </row>
    <row r="4" spans="1:256" s="28" customFormat="1" ht="25.5" customHeight="1">
      <c r="A4" s="14" t="s">
        <v>146</v>
      </c>
      <c r="B4" s="15">
        <f>SUM(B5:B10)</f>
        <v>19339.573</v>
      </c>
      <c r="C4" s="15"/>
      <c r="D4" s="15">
        <f>SUM(D5:D10)</f>
        <v>19485.74</v>
      </c>
      <c r="E4" s="31"/>
      <c r="IV4" s="186"/>
    </row>
    <row r="5" spans="1:256" s="28" customFormat="1" ht="25.5" customHeight="1">
      <c r="A5" s="14" t="s">
        <v>161</v>
      </c>
      <c r="B5" s="15">
        <v>9721.35</v>
      </c>
      <c r="C5" s="25"/>
      <c r="D5" s="25">
        <v>10915.46</v>
      </c>
      <c r="E5" s="26" t="s">
        <v>162</v>
      </c>
      <c r="IV5" s="186"/>
    </row>
    <row r="6" spans="1:256" s="28" customFormat="1" ht="25.5" customHeight="1">
      <c r="A6" s="14" t="s">
        <v>163</v>
      </c>
      <c r="B6" s="15">
        <v>3790.5754</v>
      </c>
      <c r="C6" s="25"/>
      <c r="D6" s="25">
        <v>2650.14</v>
      </c>
      <c r="E6" s="26" t="s">
        <v>164</v>
      </c>
      <c r="IV6" s="186"/>
    </row>
    <row r="7" spans="1:256" s="28" customFormat="1" ht="25.5" customHeight="1">
      <c r="A7" s="14" t="s">
        <v>165</v>
      </c>
      <c r="B7" s="15">
        <v>77.3538</v>
      </c>
      <c r="C7" s="25"/>
      <c r="D7" s="25">
        <v>7.87</v>
      </c>
      <c r="E7" s="26" t="s">
        <v>166</v>
      </c>
      <c r="IV7" s="186"/>
    </row>
    <row r="8" spans="1:256" s="28" customFormat="1" ht="27.75" customHeight="1">
      <c r="A8" s="14" t="s">
        <v>167</v>
      </c>
      <c r="B8" s="15">
        <v>77.3538</v>
      </c>
      <c r="C8" s="25"/>
      <c r="D8" s="25">
        <v>70.84</v>
      </c>
      <c r="E8" s="26" t="s">
        <v>168</v>
      </c>
      <c r="IV8" s="186"/>
    </row>
    <row r="9" spans="1:5" s="27" customFormat="1" ht="25.5" customHeight="1">
      <c r="A9" s="14" t="s">
        <v>169</v>
      </c>
      <c r="B9" s="15">
        <v>5672.94</v>
      </c>
      <c r="C9" s="10"/>
      <c r="D9" s="15">
        <v>5772.6</v>
      </c>
      <c r="E9" s="26" t="s">
        <v>170</v>
      </c>
    </row>
    <row r="10" spans="1:256" s="28" customFormat="1" ht="25.5" customHeight="1">
      <c r="A10" s="14" t="s">
        <v>171</v>
      </c>
      <c r="B10" s="15"/>
      <c r="C10" s="25"/>
      <c r="D10" s="25">
        <v>68.83</v>
      </c>
      <c r="E10" s="26" t="s">
        <v>172</v>
      </c>
      <c r="IV10" s="186"/>
    </row>
    <row r="11" spans="1:256" s="28" customFormat="1" ht="25.5" customHeight="1">
      <c r="A11" s="14" t="s">
        <v>173</v>
      </c>
      <c r="B11" s="15">
        <f>B12+B13+B14</f>
        <v>19260</v>
      </c>
      <c r="C11" s="15"/>
      <c r="D11" s="15">
        <f>D12+D13+D14+D15+D16</f>
        <v>22861.299999999996</v>
      </c>
      <c r="E11" s="32"/>
      <c r="IV11" s="186"/>
    </row>
    <row r="12" spans="1:256" s="28" customFormat="1" ht="25.5" customHeight="1">
      <c r="A12" s="14" t="s">
        <v>174</v>
      </c>
      <c r="B12" s="15">
        <v>16000</v>
      </c>
      <c r="C12" s="25"/>
      <c r="D12" s="25">
        <v>17539.26</v>
      </c>
      <c r="E12" s="26" t="s">
        <v>175</v>
      </c>
      <c r="IV12" s="186"/>
    </row>
    <row r="13" spans="1:256" s="28" customFormat="1" ht="25.5" customHeight="1">
      <c r="A13" s="33" t="s">
        <v>176</v>
      </c>
      <c r="B13" s="15">
        <v>2100</v>
      </c>
      <c r="C13" s="25"/>
      <c r="D13" s="25">
        <v>622.5</v>
      </c>
      <c r="E13" s="26" t="s">
        <v>177</v>
      </c>
      <c r="IV13" s="186"/>
    </row>
    <row r="14" spans="1:256" s="28" customFormat="1" ht="25.5" customHeight="1">
      <c r="A14" s="33" t="s">
        <v>178</v>
      </c>
      <c r="B14" s="15">
        <v>1160</v>
      </c>
      <c r="C14" s="25"/>
      <c r="D14" s="25">
        <v>1631.19</v>
      </c>
      <c r="E14" s="26" t="s">
        <v>179</v>
      </c>
      <c r="IV14" s="186"/>
    </row>
    <row r="15" spans="1:256" s="28" customFormat="1" ht="23.25" customHeight="1">
      <c r="A15" s="33" t="s">
        <v>180</v>
      </c>
      <c r="B15" s="15"/>
      <c r="C15" s="25"/>
      <c r="D15" s="25">
        <v>54</v>
      </c>
      <c r="E15" s="26" t="s">
        <v>181</v>
      </c>
      <c r="IV15" s="186"/>
    </row>
    <row r="16" spans="1:256" s="28" customFormat="1" ht="23.25" customHeight="1">
      <c r="A16" s="33" t="s">
        <v>182</v>
      </c>
      <c r="B16" s="15"/>
      <c r="C16" s="25"/>
      <c r="D16" s="25">
        <v>3014.35</v>
      </c>
      <c r="E16" s="26" t="s">
        <v>183</v>
      </c>
      <c r="IV16" s="186"/>
    </row>
    <row r="17" spans="1:256" s="28" customFormat="1" ht="23.25" customHeight="1">
      <c r="A17" s="33" t="s">
        <v>184</v>
      </c>
      <c r="B17" s="15">
        <f>B4-B11</f>
        <v>79.57300000000032</v>
      </c>
      <c r="C17" s="25"/>
      <c r="D17" s="15">
        <f>D4-D11</f>
        <v>-3375.559999999994</v>
      </c>
      <c r="E17" s="26"/>
      <c r="IV17" s="186"/>
    </row>
    <row r="18" spans="1:256" s="28" customFormat="1" ht="23.25" customHeight="1">
      <c r="A18" s="33" t="s">
        <v>185</v>
      </c>
      <c r="B18" s="25"/>
      <c r="C18" s="25"/>
      <c r="D18" s="25">
        <v>8789.874</v>
      </c>
      <c r="E18" s="32"/>
      <c r="IV18" s="186"/>
    </row>
    <row r="19" spans="1:256" s="28" customFormat="1" ht="23.25" customHeight="1">
      <c r="A19" s="198" t="s">
        <v>186</v>
      </c>
      <c r="B19" s="25">
        <f>B17+D18</f>
        <v>8869.447</v>
      </c>
      <c r="C19" s="25"/>
      <c r="D19" s="25">
        <f>D17+D18</f>
        <v>5414.314000000006</v>
      </c>
      <c r="E19" s="34"/>
      <c r="IV19" s="186"/>
    </row>
    <row r="20" spans="5:256" s="28" customFormat="1" ht="14.25">
      <c r="E20" s="4"/>
      <c r="IV20" s="186"/>
    </row>
    <row r="21" spans="5:256" s="28" customFormat="1" ht="14.25">
      <c r="E21" s="4"/>
      <c r="IV21" s="186"/>
    </row>
    <row r="22" spans="5:256" s="28" customFormat="1" ht="14.25">
      <c r="E22" s="4"/>
      <c r="IV22" s="186"/>
    </row>
    <row r="23" spans="5:256" s="28" customFormat="1" ht="3" customHeight="1">
      <c r="E23" s="4"/>
      <c r="IV23" s="186"/>
    </row>
    <row r="24" spans="5:256" s="28" customFormat="1" ht="14.25" hidden="1">
      <c r="E24" s="4"/>
      <c r="IV24" s="186"/>
    </row>
    <row r="25" spans="2:256" s="28" customFormat="1" ht="14.25" hidden="1">
      <c r="B25" s="28">
        <f>B18+'[2]表九'!B16+'[2]表十'!B17</f>
        <v>0</v>
      </c>
      <c r="E25" s="4"/>
      <c r="IV25" s="186"/>
    </row>
  </sheetData>
  <sheetProtection/>
  <mergeCells count="1">
    <mergeCell ref="A1:E1"/>
  </mergeCells>
  <printOptions horizontalCentered="1"/>
  <pageMargins left="0.38958333333333334" right="0.38958333333333334" top="0.9444444444444444" bottom="0.6298611111111111" header="0.2791666666666667" footer="0.35"/>
  <pageSetup firstPageNumber="22" useFirstPageNumber="1" horizontalDpi="600" verticalDpi="600" orientation="landscape" paperSize="9" scale="98"/>
</worksheet>
</file>

<file path=xl/worksheets/sheet9.xml><?xml version="1.0" encoding="utf-8"?>
<worksheet xmlns="http://schemas.openxmlformats.org/spreadsheetml/2006/main" xmlns:r="http://schemas.openxmlformats.org/officeDocument/2006/relationships">
  <sheetPr>
    <tabColor rgb="FF00B050"/>
    <pageSetUpPr fitToPage="1"/>
  </sheetPr>
  <dimension ref="A1:IR23"/>
  <sheetViews>
    <sheetView showZeros="0" zoomScale="130" zoomScaleNormal="130" zoomScaleSheetLayoutView="100" workbookViewId="0" topLeftCell="A1">
      <selection activeCell="I10" sqref="I10"/>
    </sheetView>
  </sheetViews>
  <sheetFormatPr defaultColWidth="9.00390625" defaultRowHeight="14.25"/>
  <cols>
    <col min="1" max="1" width="30.625" style="3" customWidth="1"/>
    <col min="2" max="2" width="10.875" style="3" customWidth="1"/>
    <col min="3" max="3" width="12.75390625" style="3" customWidth="1"/>
    <col min="4" max="4" width="9.25390625" style="3" customWidth="1"/>
    <col min="5" max="5" width="69.25390625" style="3" customWidth="1"/>
    <col min="6" max="6" width="9.75390625" style="3" hidden="1" customWidth="1"/>
    <col min="7" max="32" width="9.00390625" style="3" customWidth="1"/>
    <col min="33" max="224" width="8.75390625" style="3" customWidth="1"/>
    <col min="225" max="252" width="9.00390625" style="3" customWidth="1"/>
    <col min="253" max="16384" width="9.00390625" style="186" customWidth="1"/>
  </cols>
  <sheetData>
    <row r="1" spans="1:5" ht="27.75" customHeight="1">
      <c r="A1" s="5" t="s">
        <v>187</v>
      </c>
      <c r="B1" s="5"/>
      <c r="C1" s="5"/>
      <c r="D1" s="5"/>
      <c r="E1" s="5"/>
    </row>
    <row r="2" spans="1:5" ht="20.25" customHeight="1">
      <c r="A2" s="22" t="s">
        <v>188</v>
      </c>
      <c r="B2" s="5"/>
      <c r="C2" s="5"/>
      <c r="D2" s="5"/>
      <c r="E2" s="23" t="s">
        <v>2</v>
      </c>
    </row>
    <row r="3" spans="1:5" ht="32.25" customHeight="1">
      <c r="A3" s="24" t="s">
        <v>79</v>
      </c>
      <c r="B3" s="24" t="s">
        <v>141</v>
      </c>
      <c r="C3" s="126" t="s">
        <v>189</v>
      </c>
      <c r="D3" s="126" t="s">
        <v>145</v>
      </c>
      <c r="E3" s="24" t="s">
        <v>160</v>
      </c>
    </row>
    <row r="4" spans="1:5" ht="27.75" customHeight="1">
      <c r="A4" s="14" t="s">
        <v>190</v>
      </c>
      <c r="B4" s="15">
        <f>B5+B6+B7+B8+B9+B10</f>
        <v>1274.18</v>
      </c>
      <c r="C4" s="15"/>
      <c r="D4" s="15">
        <f>D5+D6+D7+D8+D9+D10</f>
        <v>1297.2700000000002</v>
      </c>
      <c r="E4" s="10"/>
    </row>
    <row r="5" spans="1:6" ht="43.5" customHeight="1">
      <c r="A5" s="14" t="s">
        <v>161</v>
      </c>
      <c r="B5" s="15">
        <v>641.5</v>
      </c>
      <c r="C5" s="190"/>
      <c r="D5" s="25">
        <v>782.54</v>
      </c>
      <c r="E5" s="11" t="s">
        <v>191</v>
      </c>
      <c r="F5" s="191" t="s">
        <v>192</v>
      </c>
    </row>
    <row r="6" spans="1:6" ht="27.75" customHeight="1">
      <c r="A6" s="14" t="s">
        <v>163</v>
      </c>
      <c r="B6" s="15">
        <v>176.23</v>
      </c>
      <c r="C6" s="190"/>
      <c r="D6" s="25">
        <v>108</v>
      </c>
      <c r="E6" s="11" t="s">
        <v>193</v>
      </c>
      <c r="F6" s="191" t="s">
        <v>194</v>
      </c>
    </row>
    <row r="7" spans="1:6" ht="32.25" customHeight="1">
      <c r="A7" s="14" t="s">
        <v>165</v>
      </c>
      <c r="B7" s="15">
        <v>7.99</v>
      </c>
      <c r="C7" s="190"/>
      <c r="D7" s="186">
        <v>5.22</v>
      </c>
      <c r="E7" s="11" t="s">
        <v>195</v>
      </c>
      <c r="F7" s="191" t="s">
        <v>196</v>
      </c>
    </row>
    <row r="8" spans="1:6" ht="38.25" customHeight="1">
      <c r="A8" s="14" t="s">
        <v>167</v>
      </c>
      <c r="B8" s="15">
        <v>74.93</v>
      </c>
      <c r="C8" s="190"/>
      <c r="D8" s="25">
        <v>47.09</v>
      </c>
      <c r="E8" s="11" t="s">
        <v>197</v>
      </c>
      <c r="F8" s="191" t="s">
        <v>198</v>
      </c>
    </row>
    <row r="9" spans="1:5" s="17" customFormat="1" ht="36" customHeight="1">
      <c r="A9" s="14" t="s">
        <v>169</v>
      </c>
      <c r="B9" s="15">
        <v>347</v>
      </c>
      <c r="C9" s="10"/>
      <c r="D9" s="15">
        <v>351.01</v>
      </c>
      <c r="E9" s="11" t="s">
        <v>199</v>
      </c>
    </row>
    <row r="10" spans="1:6" ht="42.75" customHeight="1">
      <c r="A10" s="14" t="s">
        <v>200</v>
      </c>
      <c r="B10" s="15">
        <v>26.53</v>
      </c>
      <c r="C10" s="15"/>
      <c r="D10" s="15">
        <v>3.41</v>
      </c>
      <c r="E10" s="26" t="s">
        <v>201</v>
      </c>
      <c r="F10" s="186"/>
    </row>
    <row r="11" spans="1:6" ht="27.75" customHeight="1">
      <c r="A11" s="14" t="s">
        <v>150</v>
      </c>
      <c r="B11" s="15">
        <f>B12+B13+B14+B15</f>
        <v>1453</v>
      </c>
      <c r="C11" s="15"/>
      <c r="D11" s="15">
        <f>SUM(D12:D15)</f>
        <v>1632.13</v>
      </c>
      <c r="E11" s="14"/>
      <c r="F11" s="186"/>
    </row>
    <row r="12" spans="1:6" ht="30.75" customHeight="1">
      <c r="A12" s="14" t="s">
        <v>202</v>
      </c>
      <c r="B12" s="15">
        <v>1134</v>
      </c>
      <c r="C12" s="25"/>
      <c r="D12" s="25">
        <v>1300.23</v>
      </c>
      <c r="E12" s="11"/>
      <c r="F12" s="186"/>
    </row>
    <row r="13" spans="1:5" ht="24" customHeight="1">
      <c r="A13" s="14" t="s">
        <v>203</v>
      </c>
      <c r="B13" s="15">
        <v>220</v>
      </c>
      <c r="C13" s="25"/>
      <c r="D13" s="25">
        <v>150</v>
      </c>
      <c r="E13" s="192" t="s">
        <v>204</v>
      </c>
    </row>
    <row r="14" spans="1:5" ht="24" customHeight="1">
      <c r="A14" s="14" t="s">
        <v>205</v>
      </c>
      <c r="B14" s="15">
        <v>99</v>
      </c>
      <c r="C14" s="25"/>
      <c r="D14" s="25">
        <v>115</v>
      </c>
      <c r="E14" s="192"/>
    </row>
    <row r="15" spans="1:5" ht="24" customHeight="1">
      <c r="A15" s="193" t="s">
        <v>206</v>
      </c>
      <c r="B15" s="194"/>
      <c r="C15" s="25"/>
      <c r="D15" s="195">
        <v>66.9</v>
      </c>
      <c r="E15" s="196"/>
    </row>
    <row r="16" spans="1:252" ht="24" customHeight="1">
      <c r="A16" s="193" t="s">
        <v>184</v>
      </c>
      <c r="B16" s="194">
        <f>B4-B11</f>
        <v>-178.81999999999994</v>
      </c>
      <c r="C16" s="25"/>
      <c r="D16" s="195">
        <f>D4-D11</f>
        <v>-334.8599999999999</v>
      </c>
      <c r="E16" s="19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row>
    <row r="17" spans="1:5" s="17" customFormat="1" ht="24" customHeight="1">
      <c r="A17" s="14" t="s">
        <v>185</v>
      </c>
      <c r="B17" s="15"/>
      <c r="C17" s="15"/>
      <c r="D17" s="15">
        <v>-148.551</v>
      </c>
      <c r="E17" s="10"/>
    </row>
    <row r="18" spans="1:5" ht="24" customHeight="1">
      <c r="A18" s="197" t="s">
        <v>186</v>
      </c>
      <c r="B18" s="190">
        <f>B16+D17</f>
        <v>-327.3709999999999</v>
      </c>
      <c r="C18" s="14"/>
      <c r="D18" s="15">
        <f>D16+D17</f>
        <v>-483.4109999999999</v>
      </c>
      <c r="E18" s="14"/>
    </row>
    <row r="19" spans="1:5" ht="14.25">
      <c r="A19" s="17"/>
      <c r="B19" s="17"/>
      <c r="C19" s="17"/>
      <c r="D19" s="17"/>
      <c r="E19" s="17"/>
    </row>
    <row r="20" spans="1:5" ht="14.25">
      <c r="A20" s="17"/>
      <c r="B20" s="17"/>
      <c r="C20" s="17"/>
      <c r="D20" s="17"/>
      <c r="E20" s="17"/>
    </row>
    <row r="21" spans="1:5" ht="14.25">
      <c r="A21" s="17"/>
      <c r="B21" s="17"/>
      <c r="C21" s="17"/>
      <c r="D21" s="17"/>
      <c r="E21" s="17"/>
    </row>
    <row r="22" spans="1:5" ht="14.25">
      <c r="A22" s="17"/>
      <c r="B22" s="17"/>
      <c r="C22" s="17"/>
      <c r="D22" s="17"/>
      <c r="E22" s="17"/>
    </row>
    <row r="23" spans="1:5" ht="14.25">
      <c r="A23" s="17"/>
      <c r="B23" s="17"/>
      <c r="C23" s="17"/>
      <c r="D23" s="17"/>
      <c r="E23" s="17"/>
    </row>
  </sheetData>
  <sheetProtection/>
  <mergeCells count="1">
    <mergeCell ref="A1:E1"/>
  </mergeCells>
  <printOptions horizontalCentered="1"/>
  <pageMargins left="0.38958333333333334" right="0.38958333333333334" top="0.7868055555555555" bottom="0.7868055555555555" header="0.2791666666666667" footer="0.35"/>
  <pageSetup firstPageNumber="22" useFirstPageNumber="1" fitToHeight="1"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2020-01-08T00:40:38Z</cp:lastPrinted>
  <dcterms:created xsi:type="dcterms:W3CDTF">2014-12-29T02:59:19Z</dcterms:created>
  <dcterms:modified xsi:type="dcterms:W3CDTF">2020-05-19T06:58:29Z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true</vt:bool>
  </property>
</Properties>
</file>